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essel masses" sheetId="1" r:id="rId1"/>
    <sheet name="SA-V ratios" sheetId="2" r:id="rId2"/>
    <sheet name="Timings" sheetId="3" r:id="rId3"/>
    <sheet name="Calibrations" sheetId="4" r:id="rId4"/>
    <sheet name="pH" sheetId="5" r:id="rId5"/>
    <sheet name="Dilution factors" sheetId="6" r:id="rId6"/>
  </sheets>
  <externalReferences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6" l="1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H4" i="6"/>
  <c r="G4" i="6"/>
  <c r="H3" i="6"/>
  <c r="G3" i="6"/>
  <c r="H2" i="6"/>
  <c r="G2" i="6"/>
  <c r="J95" i="5"/>
  <c r="G95" i="5"/>
  <c r="F95" i="5"/>
  <c r="J92" i="5"/>
  <c r="G92" i="5"/>
  <c r="F92" i="5"/>
  <c r="J90" i="5"/>
  <c r="I90" i="5"/>
  <c r="H90" i="5"/>
  <c r="G90" i="5"/>
  <c r="F90" i="5"/>
  <c r="J87" i="5"/>
  <c r="G87" i="5"/>
  <c r="F87" i="5"/>
  <c r="J85" i="5"/>
  <c r="G85" i="5"/>
  <c r="F85" i="5"/>
  <c r="J82" i="5"/>
  <c r="G82" i="5"/>
  <c r="F82" i="5"/>
  <c r="J80" i="5"/>
  <c r="I80" i="5"/>
  <c r="H80" i="5"/>
  <c r="G80" i="5"/>
  <c r="F80" i="5"/>
  <c r="J77" i="5"/>
  <c r="G77" i="5"/>
  <c r="F77" i="5"/>
  <c r="J75" i="5"/>
  <c r="G75" i="5"/>
  <c r="F75" i="5"/>
  <c r="J72" i="5"/>
  <c r="G72" i="5"/>
  <c r="F72" i="5"/>
  <c r="J70" i="5"/>
  <c r="I70" i="5"/>
  <c r="H70" i="5"/>
  <c r="G70" i="5"/>
  <c r="F70" i="5"/>
  <c r="J67" i="5"/>
  <c r="G67" i="5"/>
  <c r="F67" i="5"/>
  <c r="J65" i="5"/>
  <c r="G65" i="5"/>
  <c r="F65" i="5"/>
  <c r="J62" i="5"/>
  <c r="G62" i="5"/>
  <c r="F62" i="5"/>
  <c r="J60" i="5"/>
  <c r="I60" i="5"/>
  <c r="H60" i="5"/>
  <c r="G60" i="5"/>
  <c r="F60" i="5"/>
  <c r="J57" i="5"/>
  <c r="G57" i="5"/>
  <c r="F57" i="5"/>
  <c r="J53" i="5"/>
  <c r="G53" i="5"/>
  <c r="F53" i="5"/>
  <c r="J50" i="5"/>
  <c r="G50" i="5"/>
  <c r="F50" i="5"/>
  <c r="J48" i="5"/>
  <c r="I48" i="5"/>
  <c r="H48" i="5"/>
  <c r="G48" i="5"/>
  <c r="F48" i="5"/>
  <c r="J45" i="5"/>
  <c r="G45" i="5"/>
  <c r="F45" i="5"/>
  <c r="J43" i="5"/>
  <c r="G43" i="5"/>
  <c r="F43" i="5"/>
  <c r="J40" i="5"/>
  <c r="G40" i="5"/>
  <c r="F40" i="5"/>
  <c r="J38" i="5"/>
  <c r="I38" i="5"/>
  <c r="H38" i="5"/>
  <c r="G38" i="5"/>
  <c r="F38" i="5"/>
  <c r="J35" i="5"/>
  <c r="G35" i="5"/>
  <c r="F35" i="5"/>
  <c r="J33" i="5"/>
  <c r="G33" i="5"/>
  <c r="F33" i="5"/>
  <c r="J30" i="5"/>
  <c r="G30" i="5"/>
  <c r="F30" i="5"/>
  <c r="J28" i="5"/>
  <c r="I28" i="5"/>
  <c r="H28" i="5"/>
  <c r="G28" i="5"/>
  <c r="F28" i="5"/>
  <c r="J25" i="5"/>
  <c r="G25" i="5"/>
  <c r="F25" i="5"/>
  <c r="J23" i="5"/>
  <c r="G23" i="5"/>
  <c r="F23" i="5"/>
  <c r="J20" i="5"/>
  <c r="G20" i="5"/>
  <c r="F20" i="5"/>
  <c r="J18" i="5"/>
  <c r="I18" i="5"/>
  <c r="H18" i="5"/>
  <c r="G18" i="5"/>
  <c r="F18" i="5"/>
  <c r="J15" i="5"/>
  <c r="G15" i="5"/>
  <c r="F15" i="5"/>
  <c r="M10" i="5"/>
  <c r="L10" i="5"/>
  <c r="M9" i="5"/>
  <c r="L9" i="5"/>
  <c r="M8" i="5"/>
  <c r="L8" i="5"/>
  <c r="M7" i="5"/>
  <c r="L7" i="5"/>
  <c r="M5" i="5"/>
  <c r="L5" i="5"/>
  <c r="M4" i="5"/>
  <c r="L4" i="5"/>
  <c r="M3" i="5"/>
  <c r="L3" i="5"/>
  <c r="E142" i="4"/>
  <c r="G141" i="4"/>
  <c r="G142" i="4" s="1"/>
  <c r="E141" i="4"/>
  <c r="C141" i="4"/>
  <c r="G140" i="4"/>
  <c r="H139" i="4"/>
  <c r="G139" i="4"/>
  <c r="F139" i="4"/>
  <c r="E139" i="4"/>
  <c r="E140" i="4" s="1"/>
  <c r="D139" i="4"/>
  <c r="C139" i="4"/>
  <c r="C140" i="4" s="1"/>
  <c r="G129" i="4"/>
  <c r="G130" i="4" s="1"/>
  <c r="E129" i="4"/>
  <c r="E130" i="4" s="1"/>
  <c r="C129" i="4"/>
  <c r="E128" i="4"/>
  <c r="H127" i="4"/>
  <c r="G127" i="4"/>
  <c r="G128" i="4" s="1"/>
  <c r="F127" i="4"/>
  <c r="E127" i="4"/>
  <c r="D127" i="4"/>
  <c r="C127" i="4"/>
  <c r="C128" i="4" s="1"/>
  <c r="G118" i="4"/>
  <c r="G117" i="4"/>
  <c r="E117" i="4"/>
  <c r="E118" i="4" s="1"/>
  <c r="C117" i="4"/>
  <c r="C118" i="4" s="1"/>
  <c r="C116" i="4"/>
  <c r="H115" i="4"/>
  <c r="G115" i="4"/>
  <c r="G116" i="4" s="1"/>
  <c r="F115" i="4"/>
  <c r="E115" i="4"/>
  <c r="E116" i="4" s="1"/>
  <c r="D115" i="4"/>
  <c r="C115" i="4"/>
  <c r="G106" i="4"/>
  <c r="E106" i="4"/>
  <c r="G105" i="4"/>
  <c r="E105" i="4"/>
  <c r="C105" i="4"/>
  <c r="C106" i="4" s="1"/>
  <c r="C104" i="4"/>
  <c r="H103" i="4"/>
  <c r="G103" i="4"/>
  <c r="G104" i="4" s="1"/>
  <c r="F103" i="4"/>
  <c r="E103" i="4"/>
  <c r="E104" i="4" s="1"/>
  <c r="D103" i="4"/>
  <c r="C103" i="4"/>
  <c r="E94" i="4"/>
  <c r="G93" i="4"/>
  <c r="E93" i="4"/>
  <c r="C93" i="4"/>
  <c r="H91" i="4"/>
  <c r="G91" i="4"/>
  <c r="G94" i="4" s="1"/>
  <c r="F91" i="4"/>
  <c r="E91" i="4"/>
  <c r="E92" i="4" s="1"/>
  <c r="D91" i="4"/>
  <c r="C91" i="4"/>
  <c r="C92" i="4" s="1"/>
  <c r="E82" i="4"/>
  <c r="G81" i="4"/>
  <c r="G82" i="4" s="1"/>
  <c r="E81" i="4"/>
  <c r="C81" i="4"/>
  <c r="E80" i="4"/>
  <c r="H79" i="4"/>
  <c r="G79" i="4"/>
  <c r="G80" i="4" s="1"/>
  <c r="F79" i="4"/>
  <c r="E79" i="4"/>
  <c r="D79" i="4"/>
  <c r="C79" i="4"/>
  <c r="C80" i="4" s="1"/>
  <c r="G69" i="4"/>
  <c r="G68" i="4"/>
  <c r="E68" i="4"/>
  <c r="E69" i="4" s="1"/>
  <c r="C68" i="4"/>
  <c r="C67" i="4"/>
  <c r="H66" i="4"/>
  <c r="G66" i="4"/>
  <c r="G67" i="4" s="1"/>
  <c r="F66" i="4"/>
  <c r="E66" i="4"/>
  <c r="E67" i="4" s="1"/>
  <c r="D66" i="4"/>
  <c r="C66" i="4"/>
  <c r="C69" i="4" s="1"/>
  <c r="G57" i="4"/>
  <c r="E57" i="4"/>
  <c r="G56" i="4"/>
  <c r="E56" i="4"/>
  <c r="C56" i="4"/>
  <c r="C57" i="4" s="1"/>
  <c r="C55" i="4"/>
  <c r="H54" i="4"/>
  <c r="G54" i="4"/>
  <c r="G55" i="4" s="1"/>
  <c r="F54" i="4"/>
  <c r="E54" i="4"/>
  <c r="E55" i="4" s="1"/>
  <c r="D54" i="4"/>
  <c r="C54" i="4"/>
  <c r="E45" i="4"/>
  <c r="G44" i="4"/>
  <c r="E44" i="4"/>
  <c r="C44" i="4"/>
  <c r="H42" i="4"/>
  <c r="G42" i="4"/>
  <c r="G45" i="4" s="1"/>
  <c r="F42" i="4"/>
  <c r="E42" i="4"/>
  <c r="E43" i="4" s="1"/>
  <c r="D42" i="4"/>
  <c r="C42" i="4"/>
  <c r="C43" i="4" s="1"/>
  <c r="M39" i="4"/>
  <c r="L39" i="4"/>
  <c r="K39" i="4"/>
  <c r="M38" i="4"/>
  <c r="L38" i="4"/>
  <c r="K38" i="4"/>
  <c r="M37" i="4"/>
  <c r="L37" i="4"/>
  <c r="K37" i="4"/>
  <c r="E33" i="4"/>
  <c r="G32" i="4"/>
  <c r="E32" i="4"/>
  <c r="C32" i="4"/>
  <c r="H30" i="4"/>
  <c r="G30" i="4"/>
  <c r="G33" i="4" s="1"/>
  <c r="F30" i="4"/>
  <c r="E30" i="4"/>
  <c r="E31" i="4" s="1"/>
  <c r="D30" i="4"/>
  <c r="C30" i="4"/>
  <c r="C31" i="4" s="1"/>
  <c r="O5" i="2"/>
  <c r="O4" i="2"/>
  <c r="G39" i="2" s="1"/>
  <c r="O3" i="2"/>
  <c r="G62" i="2" s="1"/>
  <c r="O2" i="2"/>
  <c r="G12" i="2" s="1"/>
  <c r="G81" i="2"/>
  <c r="F81" i="2"/>
  <c r="E81" i="2"/>
  <c r="D81" i="2"/>
  <c r="H81" i="2" s="1"/>
  <c r="G80" i="2"/>
  <c r="F80" i="2"/>
  <c r="E80" i="2"/>
  <c r="D80" i="2"/>
  <c r="H80" i="2" s="1"/>
  <c r="G79" i="2"/>
  <c r="E79" i="2"/>
  <c r="D79" i="2"/>
  <c r="G78" i="2"/>
  <c r="E78" i="2"/>
  <c r="D78" i="2"/>
  <c r="G77" i="2"/>
  <c r="E77" i="2"/>
  <c r="F77" i="2" s="1"/>
  <c r="D77" i="2"/>
  <c r="G76" i="2"/>
  <c r="F76" i="2"/>
  <c r="E76" i="2"/>
  <c r="D76" i="2"/>
  <c r="H76" i="2" s="1"/>
  <c r="G75" i="2"/>
  <c r="F75" i="2"/>
  <c r="E75" i="2"/>
  <c r="D75" i="2"/>
  <c r="H75" i="2" s="1"/>
  <c r="E74" i="2"/>
  <c r="D74" i="2"/>
  <c r="G73" i="2"/>
  <c r="H73" i="2" s="1"/>
  <c r="E73" i="2"/>
  <c r="D73" i="2"/>
  <c r="E72" i="2"/>
  <c r="F72" i="2" s="1"/>
  <c r="D72" i="2"/>
  <c r="G71" i="2"/>
  <c r="H71" i="2" s="1"/>
  <c r="F71" i="2"/>
  <c r="E71" i="2"/>
  <c r="D71" i="2"/>
  <c r="G70" i="2"/>
  <c r="H70" i="2" s="1"/>
  <c r="F70" i="2"/>
  <c r="E70" i="2"/>
  <c r="D70" i="2"/>
  <c r="G69" i="2"/>
  <c r="E69" i="2"/>
  <c r="D69" i="2"/>
  <c r="G68" i="2"/>
  <c r="E68" i="2"/>
  <c r="F68" i="2" s="1"/>
  <c r="D68" i="2"/>
  <c r="G67" i="2"/>
  <c r="E67" i="2"/>
  <c r="D67" i="2"/>
  <c r="G66" i="2"/>
  <c r="H66" i="2" s="1"/>
  <c r="F66" i="2"/>
  <c r="E66" i="2"/>
  <c r="D66" i="2"/>
  <c r="G65" i="2"/>
  <c r="H65" i="2" s="1"/>
  <c r="F65" i="2"/>
  <c r="E65" i="2"/>
  <c r="D65" i="2"/>
  <c r="F64" i="2"/>
  <c r="E64" i="2"/>
  <c r="D64" i="2"/>
  <c r="E63" i="2"/>
  <c r="D63" i="2"/>
  <c r="F63" i="2" s="1"/>
  <c r="E62" i="2"/>
  <c r="D62" i="2"/>
  <c r="G61" i="2"/>
  <c r="H61" i="2" s="1"/>
  <c r="F61" i="2"/>
  <c r="E61" i="2"/>
  <c r="D61" i="2"/>
  <c r="G60" i="2"/>
  <c r="H60" i="2" s="1"/>
  <c r="F60" i="2"/>
  <c r="E60" i="2"/>
  <c r="D60" i="2"/>
  <c r="G59" i="2"/>
  <c r="E59" i="2"/>
  <c r="F59" i="2" s="1"/>
  <c r="D59" i="2"/>
  <c r="G58" i="2"/>
  <c r="E58" i="2"/>
  <c r="D58" i="2"/>
  <c r="G57" i="2"/>
  <c r="E57" i="2"/>
  <c r="D57" i="2"/>
  <c r="G56" i="2"/>
  <c r="H56" i="2" s="1"/>
  <c r="F56" i="2"/>
  <c r="E56" i="2"/>
  <c r="D56" i="2"/>
  <c r="G55" i="2"/>
  <c r="H55" i="2" s="1"/>
  <c r="F55" i="2"/>
  <c r="E55" i="2"/>
  <c r="D55" i="2"/>
  <c r="E54" i="2"/>
  <c r="F54" i="2" s="1"/>
  <c r="D54" i="2"/>
  <c r="E53" i="2"/>
  <c r="D53" i="2"/>
  <c r="G52" i="2"/>
  <c r="H52" i="2" s="1"/>
  <c r="E52" i="2"/>
  <c r="F52" i="2" s="1"/>
  <c r="D52" i="2"/>
  <c r="G51" i="2"/>
  <c r="H51" i="2" s="1"/>
  <c r="F51" i="2"/>
  <c r="E51" i="2"/>
  <c r="G50" i="2"/>
  <c r="H50" i="2" s="1"/>
  <c r="F50" i="2"/>
  <c r="E50" i="2"/>
  <c r="G49" i="2"/>
  <c r="E49" i="2"/>
  <c r="F49" i="2" s="1"/>
  <c r="G48" i="2"/>
  <c r="E48" i="2"/>
  <c r="F48" i="2" s="1"/>
  <c r="G47" i="2"/>
  <c r="H47" i="2" s="1"/>
  <c r="E47" i="2"/>
  <c r="F47" i="2" s="1"/>
  <c r="G46" i="2"/>
  <c r="H46" i="2" s="1"/>
  <c r="F46" i="2"/>
  <c r="E46" i="2"/>
  <c r="G45" i="2"/>
  <c r="H45" i="2" s="1"/>
  <c r="F45" i="2"/>
  <c r="E45" i="2"/>
  <c r="E44" i="2"/>
  <c r="F44" i="2" s="1"/>
  <c r="G43" i="2"/>
  <c r="H43" i="2" s="1"/>
  <c r="F43" i="2"/>
  <c r="E43" i="2"/>
  <c r="E42" i="2"/>
  <c r="F42" i="2" s="1"/>
  <c r="G41" i="2"/>
  <c r="F41" i="2"/>
  <c r="E41" i="2"/>
  <c r="D41" i="2"/>
  <c r="H41" i="2" s="1"/>
  <c r="G40" i="2"/>
  <c r="F40" i="2"/>
  <c r="E40" i="2"/>
  <c r="D40" i="2"/>
  <c r="H40" i="2" s="1"/>
  <c r="E39" i="2"/>
  <c r="F39" i="2" s="1"/>
  <c r="D39" i="2"/>
  <c r="E38" i="2"/>
  <c r="F38" i="2" s="1"/>
  <c r="D38" i="2"/>
  <c r="E37" i="2"/>
  <c r="D37" i="2"/>
  <c r="F37" i="2" s="1"/>
  <c r="G36" i="2"/>
  <c r="F36" i="2"/>
  <c r="E36" i="2"/>
  <c r="D36" i="2"/>
  <c r="H36" i="2" s="1"/>
  <c r="G35" i="2"/>
  <c r="F35" i="2"/>
  <c r="E35" i="2"/>
  <c r="D35" i="2"/>
  <c r="H35" i="2" s="1"/>
  <c r="E34" i="2"/>
  <c r="F34" i="2" s="1"/>
  <c r="D34" i="2"/>
  <c r="E33" i="2"/>
  <c r="D33" i="2"/>
  <c r="F33" i="2" s="1"/>
  <c r="E32" i="2"/>
  <c r="F32" i="2" s="1"/>
  <c r="D32" i="2"/>
  <c r="G31" i="2"/>
  <c r="H31" i="2" s="1"/>
  <c r="F31" i="2"/>
  <c r="E31" i="2"/>
  <c r="D31" i="2"/>
  <c r="G30" i="2"/>
  <c r="H30" i="2" s="1"/>
  <c r="F30" i="2"/>
  <c r="E30" i="2"/>
  <c r="D30" i="2"/>
  <c r="G29" i="2"/>
  <c r="E29" i="2"/>
  <c r="D29" i="2"/>
  <c r="F29" i="2" s="1"/>
  <c r="E28" i="2"/>
  <c r="D28" i="2"/>
  <c r="E27" i="2"/>
  <c r="D27" i="2"/>
  <c r="G26" i="2"/>
  <c r="H26" i="2" s="1"/>
  <c r="F26" i="2"/>
  <c r="E26" i="2"/>
  <c r="D26" i="2"/>
  <c r="G25" i="2"/>
  <c r="H25" i="2" s="1"/>
  <c r="F25" i="2"/>
  <c r="E25" i="2"/>
  <c r="D25" i="2"/>
  <c r="E24" i="2"/>
  <c r="D24" i="2"/>
  <c r="E23" i="2"/>
  <c r="F23" i="2" s="1"/>
  <c r="D23" i="2"/>
  <c r="E22" i="2"/>
  <c r="F22" i="2" s="1"/>
  <c r="D22" i="2"/>
  <c r="G21" i="2"/>
  <c r="H21" i="2" s="1"/>
  <c r="F21" i="2"/>
  <c r="E21" i="2"/>
  <c r="D21" i="2"/>
  <c r="G20" i="2"/>
  <c r="H20" i="2" s="1"/>
  <c r="F20" i="2"/>
  <c r="E20" i="2"/>
  <c r="D20" i="2"/>
  <c r="E19" i="2"/>
  <c r="D19" i="2"/>
  <c r="F18" i="2"/>
  <c r="E18" i="2"/>
  <c r="D18" i="2"/>
  <c r="E17" i="2"/>
  <c r="D17" i="2"/>
  <c r="F17" i="2" s="1"/>
  <c r="G16" i="2"/>
  <c r="H16" i="2" s="1"/>
  <c r="F16" i="2"/>
  <c r="E16" i="2"/>
  <c r="D16" i="2"/>
  <c r="G15" i="2"/>
  <c r="H15" i="2" s="1"/>
  <c r="F15" i="2"/>
  <c r="E15" i="2"/>
  <c r="D15" i="2"/>
  <c r="E14" i="2"/>
  <c r="F14" i="2" s="1"/>
  <c r="D14" i="2"/>
  <c r="E13" i="2"/>
  <c r="D13" i="2"/>
  <c r="E12" i="2"/>
  <c r="D12" i="2"/>
  <c r="G11" i="2"/>
  <c r="H11" i="2" s="1"/>
  <c r="F11" i="2"/>
  <c r="E11" i="2"/>
  <c r="D11" i="2"/>
  <c r="G10" i="2"/>
  <c r="H10" i="2" s="1"/>
  <c r="F10" i="2"/>
  <c r="E10" i="2"/>
  <c r="D10" i="2"/>
  <c r="E9" i="2"/>
  <c r="D9" i="2"/>
  <c r="E8" i="2"/>
  <c r="D8" i="2"/>
  <c r="G7" i="2"/>
  <c r="E7" i="2"/>
  <c r="D7" i="2"/>
  <c r="G6" i="2"/>
  <c r="H6" i="2" s="1"/>
  <c r="F6" i="2"/>
  <c r="E6" i="2"/>
  <c r="D6" i="2"/>
  <c r="G5" i="2"/>
  <c r="H5" i="2" s="1"/>
  <c r="F5" i="2"/>
  <c r="E5" i="2"/>
  <c r="D5" i="2"/>
  <c r="E4" i="2"/>
  <c r="D4" i="2"/>
  <c r="E3" i="2"/>
  <c r="D3" i="2"/>
  <c r="E2" i="2"/>
  <c r="D2" i="2"/>
  <c r="Q81" i="1"/>
  <c r="P81" i="1"/>
  <c r="L81" i="1"/>
  <c r="K81" i="1"/>
  <c r="I81" i="1"/>
  <c r="P80" i="1"/>
  <c r="L80" i="1"/>
  <c r="Q80" i="1" s="1"/>
  <c r="K80" i="1"/>
  <c r="I80" i="1"/>
  <c r="Q79" i="1"/>
  <c r="P79" i="1"/>
  <c r="L79" i="1"/>
  <c r="K79" i="1"/>
  <c r="I79" i="1"/>
  <c r="P78" i="1"/>
  <c r="L78" i="1"/>
  <c r="Q78" i="1" s="1"/>
  <c r="K78" i="1"/>
  <c r="I78" i="1"/>
  <c r="Q77" i="1"/>
  <c r="P77" i="1"/>
  <c r="L77" i="1"/>
  <c r="K77" i="1"/>
  <c r="I77" i="1"/>
  <c r="P76" i="1"/>
  <c r="L76" i="1"/>
  <c r="Q76" i="1" s="1"/>
  <c r="K76" i="1"/>
  <c r="I76" i="1"/>
  <c r="Q75" i="1"/>
  <c r="P75" i="1"/>
  <c r="L75" i="1"/>
  <c r="K75" i="1"/>
  <c r="I75" i="1"/>
  <c r="P74" i="1"/>
  <c r="L74" i="1"/>
  <c r="Q74" i="1" s="1"/>
  <c r="K74" i="1"/>
  <c r="I74" i="1"/>
  <c r="Q73" i="1"/>
  <c r="P73" i="1"/>
  <c r="L73" i="1"/>
  <c r="K73" i="1"/>
  <c r="I73" i="1"/>
  <c r="P72" i="1"/>
  <c r="L72" i="1"/>
  <c r="Q72" i="1" s="1"/>
  <c r="K72" i="1"/>
  <c r="I72" i="1"/>
  <c r="L71" i="1"/>
  <c r="K71" i="1"/>
  <c r="Q70" i="1"/>
  <c r="P70" i="1"/>
  <c r="L70" i="1"/>
  <c r="K70" i="1"/>
  <c r="S69" i="1"/>
  <c r="P69" i="1"/>
  <c r="Q69" i="1" s="1"/>
  <c r="M69" i="1"/>
  <c r="L69" i="1"/>
  <c r="K69" i="1"/>
  <c r="P68" i="1"/>
  <c r="M68" i="1"/>
  <c r="R68" i="1" s="1"/>
  <c r="L68" i="1"/>
  <c r="Q68" i="1" s="1"/>
  <c r="K68" i="1"/>
  <c r="Q67" i="1"/>
  <c r="P67" i="1"/>
  <c r="L67" i="1"/>
  <c r="K67" i="1"/>
  <c r="Q66" i="1"/>
  <c r="P66" i="1"/>
  <c r="L66" i="1"/>
  <c r="K66" i="1"/>
  <c r="I66" i="1"/>
  <c r="L65" i="1"/>
  <c r="K65" i="1"/>
  <c r="I65" i="1"/>
  <c r="Q64" i="1"/>
  <c r="P64" i="1"/>
  <c r="L64" i="1"/>
  <c r="K64" i="1"/>
  <c r="I64" i="1"/>
  <c r="P63" i="1"/>
  <c r="Q63" i="1" s="1"/>
  <c r="L63" i="1"/>
  <c r="K63" i="1"/>
  <c r="I63" i="1"/>
  <c r="P62" i="1"/>
  <c r="Q62" i="1" s="1"/>
  <c r="R62" i="1" s="1"/>
  <c r="L62" i="1"/>
  <c r="M62" i="1" s="1"/>
  <c r="K62" i="1"/>
  <c r="I62" i="1"/>
  <c r="P61" i="1"/>
  <c r="Q61" i="1" s="1"/>
  <c r="L61" i="1"/>
  <c r="K61" i="1"/>
  <c r="I61" i="1"/>
  <c r="Q60" i="1"/>
  <c r="P60" i="1"/>
  <c r="L60" i="1"/>
  <c r="K60" i="1"/>
  <c r="I60" i="1"/>
  <c r="P59" i="1"/>
  <c r="Q59" i="1" s="1"/>
  <c r="L59" i="1"/>
  <c r="K59" i="1"/>
  <c r="I59" i="1"/>
  <c r="P58" i="1"/>
  <c r="Q58" i="1" s="1"/>
  <c r="R58" i="1" s="1"/>
  <c r="L58" i="1"/>
  <c r="M58" i="1" s="1"/>
  <c r="K58" i="1"/>
  <c r="I58" i="1"/>
  <c r="P57" i="1"/>
  <c r="Q57" i="1" s="1"/>
  <c r="L57" i="1"/>
  <c r="K57" i="1"/>
  <c r="I57" i="1"/>
  <c r="Q56" i="1"/>
  <c r="P56" i="1"/>
  <c r="L56" i="1"/>
  <c r="K56" i="1"/>
  <c r="I56" i="1"/>
  <c r="P55" i="1"/>
  <c r="Q55" i="1" s="1"/>
  <c r="L55" i="1"/>
  <c r="K55" i="1"/>
  <c r="I55" i="1"/>
  <c r="P54" i="1"/>
  <c r="Q54" i="1" s="1"/>
  <c r="R54" i="1" s="1"/>
  <c r="L54" i="1"/>
  <c r="M54" i="1" s="1"/>
  <c r="K54" i="1"/>
  <c r="I54" i="1"/>
  <c r="P53" i="1"/>
  <c r="Q53" i="1" s="1"/>
  <c r="L53" i="1"/>
  <c r="K53" i="1"/>
  <c r="I53" i="1"/>
  <c r="Q52" i="1"/>
  <c r="P52" i="1"/>
  <c r="L52" i="1"/>
  <c r="K52" i="1"/>
  <c r="I52" i="1"/>
  <c r="Q51" i="1"/>
  <c r="M51" i="1"/>
  <c r="S51" i="1" s="1"/>
  <c r="Q50" i="1"/>
  <c r="M50" i="1"/>
  <c r="S50" i="1" s="1"/>
  <c r="Q49" i="1"/>
  <c r="M49" i="1"/>
  <c r="S49" i="1" s="1"/>
  <c r="Q48" i="1"/>
  <c r="M48" i="1"/>
  <c r="S48" i="1" s="1"/>
  <c r="Q47" i="1"/>
  <c r="M47" i="1"/>
  <c r="S47" i="1" s="1"/>
  <c r="Q46" i="1"/>
  <c r="M46" i="1"/>
  <c r="S46" i="1" s="1"/>
  <c r="Q45" i="1"/>
  <c r="M45" i="1"/>
  <c r="S45" i="1" s="1"/>
  <c r="Q44" i="1"/>
  <c r="M44" i="1"/>
  <c r="S44" i="1" s="1"/>
  <c r="Q43" i="1"/>
  <c r="M43" i="1"/>
  <c r="S43" i="1" s="1"/>
  <c r="P42" i="1"/>
  <c r="Q42" i="1" s="1"/>
  <c r="R42" i="1" s="1"/>
  <c r="M42" i="1"/>
  <c r="Q41" i="1"/>
  <c r="P41" i="1"/>
  <c r="L41" i="1"/>
  <c r="K41" i="1"/>
  <c r="I41" i="1"/>
  <c r="P40" i="1"/>
  <c r="L40" i="1"/>
  <c r="K40" i="1"/>
  <c r="I40" i="1"/>
  <c r="Q39" i="1"/>
  <c r="P39" i="1"/>
  <c r="L39" i="1"/>
  <c r="K39" i="1"/>
  <c r="I39" i="1"/>
  <c r="P38" i="1"/>
  <c r="L38" i="1"/>
  <c r="Q38" i="1" s="1"/>
  <c r="K38" i="1"/>
  <c r="I38" i="1"/>
  <c r="Q37" i="1"/>
  <c r="P37" i="1"/>
  <c r="L37" i="1"/>
  <c r="K37" i="1"/>
  <c r="I37" i="1"/>
  <c r="P36" i="1"/>
  <c r="L36" i="1"/>
  <c r="Q36" i="1" s="1"/>
  <c r="K36" i="1"/>
  <c r="I36" i="1"/>
  <c r="Q35" i="1"/>
  <c r="P35" i="1"/>
  <c r="L35" i="1"/>
  <c r="K35" i="1"/>
  <c r="I35" i="1"/>
  <c r="P34" i="1"/>
  <c r="L34" i="1"/>
  <c r="Q34" i="1" s="1"/>
  <c r="K34" i="1"/>
  <c r="I34" i="1"/>
  <c r="Q33" i="1"/>
  <c r="P33" i="1"/>
  <c r="L33" i="1"/>
  <c r="K33" i="1"/>
  <c r="I33" i="1"/>
  <c r="P32" i="1"/>
  <c r="L32" i="1"/>
  <c r="Q32" i="1" s="1"/>
  <c r="K32" i="1"/>
  <c r="I32" i="1"/>
  <c r="Q31" i="1"/>
  <c r="P31" i="1"/>
  <c r="L31" i="1"/>
  <c r="K31" i="1"/>
  <c r="I31" i="1"/>
  <c r="P30" i="1"/>
  <c r="L30" i="1"/>
  <c r="Q30" i="1" s="1"/>
  <c r="K30" i="1"/>
  <c r="I30" i="1"/>
  <c r="Q29" i="1"/>
  <c r="P29" i="1"/>
  <c r="L29" i="1"/>
  <c r="K29" i="1"/>
  <c r="I29" i="1"/>
  <c r="P28" i="1"/>
  <c r="L28" i="1"/>
  <c r="Q28" i="1" s="1"/>
  <c r="K28" i="1"/>
  <c r="I28" i="1"/>
  <c r="Q27" i="1"/>
  <c r="P27" i="1"/>
  <c r="L27" i="1"/>
  <c r="K27" i="1"/>
  <c r="I27" i="1"/>
  <c r="P26" i="1"/>
  <c r="L26" i="1"/>
  <c r="Q26" i="1" s="1"/>
  <c r="K26" i="1"/>
  <c r="I26" i="1"/>
  <c r="Q25" i="1"/>
  <c r="P25" i="1"/>
  <c r="L25" i="1"/>
  <c r="K25" i="1"/>
  <c r="I25" i="1"/>
  <c r="P24" i="1"/>
  <c r="L24" i="1"/>
  <c r="K24" i="1"/>
  <c r="I24" i="1"/>
  <c r="Q23" i="1"/>
  <c r="R23" i="1" s="1"/>
  <c r="P23" i="1"/>
  <c r="L23" i="1"/>
  <c r="M23" i="1" s="1"/>
  <c r="S23" i="1" s="1"/>
  <c r="K23" i="1"/>
  <c r="I23" i="1"/>
  <c r="Q22" i="1"/>
  <c r="R22" i="1" s="1"/>
  <c r="P22" i="1"/>
  <c r="L22" i="1"/>
  <c r="M22" i="1" s="1"/>
  <c r="S22" i="1" s="1"/>
  <c r="K22" i="1"/>
  <c r="I22" i="1"/>
  <c r="Q21" i="1"/>
  <c r="P21" i="1"/>
  <c r="L21" i="1"/>
  <c r="M21" i="1" s="1"/>
  <c r="S21" i="1" s="1"/>
  <c r="K21" i="1"/>
  <c r="I21" i="1"/>
  <c r="Q20" i="1"/>
  <c r="P20" i="1"/>
  <c r="L20" i="1"/>
  <c r="M20" i="1" s="1"/>
  <c r="S20" i="1" s="1"/>
  <c r="K20" i="1"/>
  <c r="I20" i="1"/>
  <c r="Q19" i="1"/>
  <c r="R19" i="1" s="1"/>
  <c r="P19" i="1"/>
  <c r="L19" i="1"/>
  <c r="M19" i="1" s="1"/>
  <c r="S19" i="1" s="1"/>
  <c r="K19" i="1"/>
  <c r="I19" i="1"/>
  <c r="Q18" i="1"/>
  <c r="R18" i="1" s="1"/>
  <c r="P18" i="1"/>
  <c r="L18" i="1"/>
  <c r="M18" i="1" s="1"/>
  <c r="S18" i="1" s="1"/>
  <c r="K18" i="1"/>
  <c r="I18" i="1"/>
  <c r="Q17" i="1"/>
  <c r="P17" i="1"/>
  <c r="L17" i="1"/>
  <c r="M17" i="1" s="1"/>
  <c r="S17" i="1" s="1"/>
  <c r="K17" i="1"/>
  <c r="I17" i="1"/>
  <c r="Q16" i="1"/>
  <c r="P16" i="1"/>
  <c r="L16" i="1"/>
  <c r="M16" i="1" s="1"/>
  <c r="S16" i="1" s="1"/>
  <c r="K16" i="1"/>
  <c r="I16" i="1"/>
  <c r="Q15" i="1"/>
  <c r="R15" i="1" s="1"/>
  <c r="P15" i="1"/>
  <c r="L15" i="1"/>
  <c r="M15" i="1" s="1"/>
  <c r="S15" i="1" s="1"/>
  <c r="K15" i="1"/>
  <c r="I15" i="1"/>
  <c r="Q14" i="1"/>
  <c r="R14" i="1" s="1"/>
  <c r="P14" i="1"/>
  <c r="L14" i="1"/>
  <c r="M14" i="1" s="1"/>
  <c r="S14" i="1" s="1"/>
  <c r="K14" i="1"/>
  <c r="I14" i="1"/>
  <c r="Q13" i="1"/>
  <c r="P13" i="1"/>
  <c r="L13" i="1"/>
  <c r="M13" i="1" s="1"/>
  <c r="S13" i="1" s="1"/>
  <c r="K13" i="1"/>
  <c r="I13" i="1"/>
  <c r="Q12" i="1"/>
  <c r="P12" i="1"/>
  <c r="L12" i="1"/>
  <c r="M12" i="1" s="1"/>
  <c r="S12" i="1" s="1"/>
  <c r="K12" i="1"/>
  <c r="I12" i="1"/>
  <c r="Q11" i="1"/>
  <c r="R11" i="1" s="1"/>
  <c r="M11" i="1"/>
  <c r="Q10" i="1"/>
  <c r="S10" i="1" s="1"/>
  <c r="M10" i="1"/>
  <c r="Q9" i="1"/>
  <c r="S9" i="1" s="1"/>
  <c r="M9" i="1"/>
  <c r="Q8" i="1"/>
  <c r="S8" i="1" s="1"/>
  <c r="M8" i="1"/>
  <c r="Q7" i="1"/>
  <c r="S7" i="1" s="1"/>
  <c r="M7" i="1"/>
  <c r="Q6" i="1"/>
  <c r="S6" i="1" s="1"/>
  <c r="M6" i="1"/>
  <c r="Q5" i="1"/>
  <c r="S5" i="1" s="1"/>
  <c r="M5" i="1"/>
  <c r="Q4" i="1"/>
  <c r="S4" i="1" s="1"/>
  <c r="M4" i="1"/>
  <c r="Q3" i="1"/>
  <c r="S3" i="1" s="1"/>
  <c r="M3" i="1"/>
  <c r="Q2" i="1"/>
  <c r="S2" i="1" s="1"/>
  <c r="M2" i="1"/>
  <c r="J8" i="6" l="1"/>
  <c r="J16" i="6"/>
  <c r="J24" i="6"/>
  <c r="J32" i="6"/>
  <c r="J40" i="6"/>
  <c r="J49" i="6"/>
  <c r="J57" i="6"/>
  <c r="J65" i="6"/>
  <c r="J73" i="6"/>
  <c r="J81" i="6"/>
  <c r="J3" i="6"/>
  <c r="J7" i="6"/>
  <c r="J11" i="6"/>
  <c r="J15" i="6"/>
  <c r="J19" i="6"/>
  <c r="J23" i="6"/>
  <c r="J27" i="6"/>
  <c r="J31" i="6"/>
  <c r="J35" i="6"/>
  <c r="J39" i="6"/>
  <c r="J44" i="6"/>
  <c r="J48" i="6"/>
  <c r="J52" i="6"/>
  <c r="J56" i="6"/>
  <c r="J60" i="6"/>
  <c r="J64" i="6"/>
  <c r="J68" i="6"/>
  <c r="J72" i="6"/>
  <c r="J76" i="6"/>
  <c r="J80" i="6"/>
  <c r="I2" i="6"/>
  <c r="J2" i="6" s="1"/>
  <c r="I3" i="6"/>
  <c r="I4" i="6"/>
  <c r="J4" i="6" s="1"/>
  <c r="I5" i="6"/>
  <c r="J5" i="6" s="1"/>
  <c r="I6" i="6"/>
  <c r="J6" i="6" s="1"/>
  <c r="I7" i="6"/>
  <c r="I8" i="6"/>
  <c r="I9" i="6"/>
  <c r="J9" i="6" s="1"/>
  <c r="I10" i="6"/>
  <c r="J10" i="6" s="1"/>
  <c r="I11" i="6"/>
  <c r="I12" i="6"/>
  <c r="J12" i="6" s="1"/>
  <c r="I13" i="6"/>
  <c r="J13" i="6" s="1"/>
  <c r="I14" i="6"/>
  <c r="J14" i="6" s="1"/>
  <c r="I15" i="6"/>
  <c r="I16" i="6"/>
  <c r="I17" i="6"/>
  <c r="J17" i="6" s="1"/>
  <c r="I18" i="6"/>
  <c r="J18" i="6" s="1"/>
  <c r="I19" i="6"/>
  <c r="I20" i="6"/>
  <c r="J20" i="6" s="1"/>
  <c r="I21" i="6"/>
  <c r="J21" i="6" s="1"/>
  <c r="I22" i="6"/>
  <c r="J22" i="6" s="1"/>
  <c r="I23" i="6"/>
  <c r="I24" i="6"/>
  <c r="I25" i="6"/>
  <c r="J25" i="6" s="1"/>
  <c r="I26" i="6"/>
  <c r="J26" i="6" s="1"/>
  <c r="I27" i="6"/>
  <c r="I28" i="6"/>
  <c r="J28" i="6" s="1"/>
  <c r="I29" i="6"/>
  <c r="J29" i="6" s="1"/>
  <c r="I30" i="6"/>
  <c r="J30" i="6" s="1"/>
  <c r="I31" i="6"/>
  <c r="I32" i="6"/>
  <c r="I33" i="6"/>
  <c r="J33" i="6" s="1"/>
  <c r="I34" i="6"/>
  <c r="J34" i="6" s="1"/>
  <c r="I35" i="6"/>
  <c r="I36" i="6"/>
  <c r="J36" i="6" s="1"/>
  <c r="I37" i="6"/>
  <c r="J37" i="6" s="1"/>
  <c r="I38" i="6"/>
  <c r="J38" i="6" s="1"/>
  <c r="I39" i="6"/>
  <c r="I40" i="6"/>
  <c r="I41" i="6"/>
  <c r="J41" i="6" s="1"/>
  <c r="I43" i="6"/>
  <c r="J43" i="6" s="1"/>
  <c r="I44" i="6"/>
  <c r="I45" i="6"/>
  <c r="J45" i="6" s="1"/>
  <c r="I46" i="6"/>
  <c r="J46" i="6" s="1"/>
  <c r="I47" i="6"/>
  <c r="J47" i="6" s="1"/>
  <c r="I48" i="6"/>
  <c r="I49" i="6"/>
  <c r="I50" i="6"/>
  <c r="J50" i="6" s="1"/>
  <c r="I51" i="6"/>
  <c r="J51" i="6" s="1"/>
  <c r="I52" i="6"/>
  <c r="I53" i="6"/>
  <c r="J53" i="6" s="1"/>
  <c r="I54" i="6"/>
  <c r="J54" i="6" s="1"/>
  <c r="I55" i="6"/>
  <c r="J55" i="6" s="1"/>
  <c r="I56" i="6"/>
  <c r="I57" i="6"/>
  <c r="I58" i="6"/>
  <c r="J58" i="6" s="1"/>
  <c r="I59" i="6"/>
  <c r="J59" i="6" s="1"/>
  <c r="I60" i="6"/>
  <c r="I61" i="6"/>
  <c r="J61" i="6" s="1"/>
  <c r="I62" i="6"/>
  <c r="J62" i="6" s="1"/>
  <c r="I63" i="6"/>
  <c r="J63" i="6" s="1"/>
  <c r="I64" i="6"/>
  <c r="I65" i="6"/>
  <c r="I66" i="6"/>
  <c r="J66" i="6" s="1"/>
  <c r="I67" i="6"/>
  <c r="J67" i="6" s="1"/>
  <c r="I68" i="6"/>
  <c r="I69" i="6"/>
  <c r="J69" i="6" s="1"/>
  <c r="I70" i="6"/>
  <c r="J70" i="6" s="1"/>
  <c r="I71" i="6"/>
  <c r="J71" i="6" s="1"/>
  <c r="I72" i="6"/>
  <c r="I73" i="6"/>
  <c r="I74" i="6"/>
  <c r="J74" i="6" s="1"/>
  <c r="I75" i="6"/>
  <c r="J75" i="6" s="1"/>
  <c r="I76" i="6"/>
  <c r="I77" i="6"/>
  <c r="J77" i="6" s="1"/>
  <c r="I78" i="6"/>
  <c r="J78" i="6" s="1"/>
  <c r="I79" i="6"/>
  <c r="J79" i="6" s="1"/>
  <c r="I80" i="6"/>
  <c r="I81" i="6"/>
  <c r="I82" i="6"/>
  <c r="J82" i="6" s="1"/>
  <c r="C33" i="4"/>
  <c r="C45" i="4"/>
  <c r="G92" i="4"/>
  <c r="C94" i="4"/>
  <c r="C142" i="4"/>
  <c r="C82" i="4"/>
  <c r="C130" i="4"/>
  <c r="G31" i="4"/>
  <c r="G43" i="4"/>
  <c r="F2" i="2"/>
  <c r="K5" i="2" s="1"/>
  <c r="F4" i="2"/>
  <c r="F27" i="2"/>
  <c r="F58" i="2"/>
  <c r="H59" i="2"/>
  <c r="F69" i="2"/>
  <c r="H77" i="2"/>
  <c r="F8" i="2"/>
  <c r="F12" i="2"/>
  <c r="F19" i="2"/>
  <c r="F24" i="2"/>
  <c r="H29" i="2"/>
  <c r="H49" i="2"/>
  <c r="F53" i="2"/>
  <c r="F57" i="2"/>
  <c r="F67" i="2"/>
  <c r="H69" i="2"/>
  <c r="F74" i="2"/>
  <c r="F79" i="2"/>
  <c r="F3" i="2"/>
  <c r="F7" i="2"/>
  <c r="F9" i="2"/>
  <c r="F13" i="2"/>
  <c r="G19" i="2"/>
  <c r="G24" i="2"/>
  <c r="F28" i="2"/>
  <c r="H48" i="2"/>
  <c r="H57" i="2"/>
  <c r="F62" i="2"/>
  <c r="H67" i="2"/>
  <c r="H68" i="2"/>
  <c r="F73" i="2"/>
  <c r="F78" i="2"/>
  <c r="H79" i="2"/>
  <c r="H12" i="2"/>
  <c r="G33" i="2"/>
  <c r="H33" i="2" s="1"/>
  <c r="G3" i="2"/>
  <c r="H3" i="2" s="1"/>
  <c r="G13" i="2"/>
  <c r="H13" i="2" s="1"/>
  <c r="G14" i="2"/>
  <c r="H14" i="2" s="1"/>
  <c r="G22" i="2"/>
  <c r="H22" i="2" s="1"/>
  <c r="G32" i="2"/>
  <c r="G4" i="2"/>
  <c r="H4" i="2" s="1"/>
  <c r="G23" i="2"/>
  <c r="H23" i="2" s="1"/>
  <c r="G34" i="2"/>
  <c r="H34" i="2" s="1"/>
  <c r="G2" i="2"/>
  <c r="H2" i="2" s="1"/>
  <c r="H39" i="2"/>
  <c r="H62" i="2"/>
  <c r="G42" i="2"/>
  <c r="H42" i="2" s="1"/>
  <c r="G63" i="2"/>
  <c r="H63" i="2" s="1"/>
  <c r="G64" i="2"/>
  <c r="H64" i="2" s="1"/>
  <c r="G72" i="2"/>
  <c r="H72" i="2" s="1"/>
  <c r="H7" i="2"/>
  <c r="G9" i="2"/>
  <c r="H9" i="2" s="1"/>
  <c r="G8" i="2"/>
  <c r="H8" i="2" s="1"/>
  <c r="H19" i="2"/>
  <c r="G27" i="2"/>
  <c r="H27" i="2" s="1"/>
  <c r="H32" i="2"/>
  <c r="G37" i="2"/>
  <c r="H37" i="2" s="1"/>
  <c r="G38" i="2"/>
  <c r="H38" i="2" s="1"/>
  <c r="G44" i="2"/>
  <c r="H44" i="2" s="1"/>
  <c r="G53" i="2"/>
  <c r="H53" i="2" s="1"/>
  <c r="G74" i="2"/>
  <c r="H74" i="2" s="1"/>
  <c r="H78" i="2"/>
  <c r="G17" i="2"/>
  <c r="H17" i="2" s="1"/>
  <c r="G18" i="2"/>
  <c r="H18" i="2" s="1"/>
  <c r="H24" i="2"/>
  <c r="G28" i="2"/>
  <c r="H28" i="2" s="1"/>
  <c r="G54" i="2"/>
  <c r="H54" i="2" s="1"/>
  <c r="H58" i="2"/>
  <c r="K4" i="2"/>
  <c r="R74" i="1"/>
  <c r="R16" i="1"/>
  <c r="R20" i="1"/>
  <c r="R25" i="1"/>
  <c r="R33" i="1"/>
  <c r="R41" i="1"/>
  <c r="R67" i="1"/>
  <c r="R13" i="1"/>
  <c r="R17" i="1"/>
  <c r="R21" i="1"/>
  <c r="R27" i="1"/>
  <c r="R30" i="1"/>
  <c r="R53" i="1"/>
  <c r="R55" i="1"/>
  <c r="R32" i="1"/>
  <c r="R59" i="1"/>
  <c r="R12" i="1"/>
  <c r="R36" i="1"/>
  <c r="S54" i="1"/>
  <c r="R66" i="1"/>
  <c r="R3" i="1"/>
  <c r="R6" i="1"/>
  <c r="R8" i="1"/>
  <c r="M24" i="1"/>
  <c r="M40" i="1"/>
  <c r="S40" i="1" s="1"/>
  <c r="R48" i="1"/>
  <c r="M55" i="1"/>
  <c r="S55" i="1" s="1"/>
  <c r="S11" i="1"/>
  <c r="Q24" i="1"/>
  <c r="R24" i="1" s="1"/>
  <c r="M25" i="1"/>
  <c r="S25" i="1" s="1"/>
  <c r="M27" i="1"/>
  <c r="S27" i="1" s="1"/>
  <c r="M29" i="1"/>
  <c r="S29" i="1" s="1"/>
  <c r="M31" i="1"/>
  <c r="S31" i="1" s="1"/>
  <c r="M33" i="1"/>
  <c r="S33" i="1" s="1"/>
  <c r="M35" i="1"/>
  <c r="S35" i="1" s="1"/>
  <c r="M37" i="1"/>
  <c r="S37" i="1" s="1"/>
  <c r="M39" i="1"/>
  <c r="S39" i="1" s="1"/>
  <c r="Q40" i="1"/>
  <c r="M41" i="1"/>
  <c r="S41" i="1" s="1"/>
  <c r="S42" i="1"/>
  <c r="R43" i="1"/>
  <c r="R45" i="1"/>
  <c r="R47" i="1"/>
  <c r="R49" i="1"/>
  <c r="R51" i="1"/>
  <c r="M53" i="1"/>
  <c r="S53" i="1" s="1"/>
  <c r="M57" i="1"/>
  <c r="S57" i="1" s="1"/>
  <c r="M61" i="1"/>
  <c r="S61" i="1" s="1"/>
  <c r="M65" i="1"/>
  <c r="S68" i="1"/>
  <c r="R69" i="1"/>
  <c r="M73" i="1"/>
  <c r="S73" i="1" s="1"/>
  <c r="M75" i="1"/>
  <c r="S75" i="1" s="1"/>
  <c r="M77" i="1"/>
  <c r="S77" i="1" s="1"/>
  <c r="M79" i="1"/>
  <c r="S79" i="1" s="1"/>
  <c r="M81" i="1"/>
  <c r="S81" i="1" s="1"/>
  <c r="R52" i="1"/>
  <c r="S58" i="1"/>
  <c r="S62" i="1"/>
  <c r="R2" i="1"/>
  <c r="R4" i="1"/>
  <c r="R5" i="1"/>
  <c r="R7" i="1"/>
  <c r="R9" i="1"/>
  <c r="R10" i="1"/>
  <c r="M26" i="1"/>
  <c r="S26" i="1" s="1"/>
  <c r="M28" i="1"/>
  <c r="S28" i="1" s="1"/>
  <c r="M30" i="1"/>
  <c r="S30" i="1" s="1"/>
  <c r="M32" i="1"/>
  <c r="S32" i="1" s="1"/>
  <c r="M34" i="1"/>
  <c r="S34" i="1" s="1"/>
  <c r="M36" i="1"/>
  <c r="S36" i="1" s="1"/>
  <c r="M38" i="1"/>
  <c r="S38" i="1" s="1"/>
  <c r="R44" i="1"/>
  <c r="R46" i="1"/>
  <c r="R50" i="1"/>
  <c r="M59" i="1"/>
  <c r="S59" i="1" s="1"/>
  <c r="M63" i="1"/>
  <c r="S63" i="1" s="1"/>
  <c r="M72" i="1"/>
  <c r="S72" i="1" s="1"/>
  <c r="M74" i="1"/>
  <c r="S74" i="1" s="1"/>
  <c r="M76" i="1"/>
  <c r="S76" i="1" s="1"/>
  <c r="M78" i="1"/>
  <c r="S78" i="1" s="1"/>
  <c r="M80" i="1"/>
  <c r="S80" i="1" s="1"/>
  <c r="M52" i="1"/>
  <c r="S52" i="1" s="1"/>
  <c r="M56" i="1"/>
  <c r="S56" i="1" s="1"/>
  <c r="M60" i="1"/>
  <c r="S60" i="1" s="1"/>
  <c r="M64" i="1"/>
  <c r="S64" i="1" s="1"/>
  <c r="M66" i="1"/>
  <c r="S66" i="1" s="1"/>
  <c r="M67" i="1"/>
  <c r="S67" i="1" s="1"/>
  <c r="M70" i="1"/>
  <c r="S70" i="1" s="1"/>
  <c r="M71" i="1"/>
  <c r="K6" i="2" l="1"/>
  <c r="K2" i="2"/>
  <c r="K3" i="2"/>
  <c r="R39" i="1"/>
  <c r="R60" i="1"/>
  <c r="R34" i="1"/>
  <c r="R63" i="1"/>
  <c r="R57" i="1"/>
  <c r="R78" i="1"/>
  <c r="R38" i="1"/>
  <c r="R76" i="1"/>
  <c r="R80" i="1"/>
  <c r="R64" i="1"/>
  <c r="R56" i="1"/>
  <c r="R40" i="1"/>
  <c r="R61" i="1"/>
  <c r="R77" i="1"/>
  <c r="R37" i="1"/>
  <c r="R75" i="1"/>
  <c r="R35" i="1"/>
  <c r="R73" i="1"/>
  <c r="R28" i="1"/>
  <c r="R79" i="1"/>
  <c r="R72" i="1"/>
  <c r="S24" i="1"/>
  <c r="R70" i="1"/>
  <c r="R31" i="1"/>
  <c r="R29" i="1"/>
  <c r="R81" i="1"/>
  <c r="R26" i="1"/>
</calcChain>
</file>

<file path=xl/comments1.xml><?xml version="1.0" encoding="utf-8"?>
<comments xmlns="http://schemas.openxmlformats.org/spreadsheetml/2006/main">
  <authors>
    <author>Author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As a reference was not measured at the beginning of the 16 wk. experiments, their results were not corrected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5" authorId="0" shapeId="0">
      <text>
        <r>
          <rPr>
            <b/>
            <sz val="9"/>
            <color indexed="81"/>
            <rFont val="Tahoma"/>
            <family val="2"/>
          </rPr>
          <t>Stuck but extracted.</t>
        </r>
      </text>
    </comment>
    <comment ref="P71" authorId="0" shapeId="0">
      <text>
        <r>
          <rPr>
            <b/>
            <sz val="9"/>
            <color indexed="81"/>
            <rFont val="Tahoma"/>
            <family val="2"/>
          </rPr>
          <t>Stuck but extracted.</t>
        </r>
      </text>
    </comment>
  </commentList>
</comments>
</file>

<file path=xl/sharedStrings.xml><?xml version="1.0" encoding="utf-8"?>
<sst xmlns="http://schemas.openxmlformats.org/spreadsheetml/2006/main" count="1207" uniqueCount="291">
  <si>
    <t>Duration</t>
  </si>
  <si>
    <t>Vessel #</t>
  </si>
  <si>
    <t>Date of cleaning (vessel)</t>
  </si>
  <si>
    <t>Temperature (ºC)</t>
  </si>
  <si>
    <t>New or used liners</t>
  </si>
  <si>
    <t>Contents batch number</t>
  </si>
  <si>
    <t>Heater number</t>
  </si>
  <si>
    <t>100g std mass (cole-parmer)</t>
  </si>
  <si>
    <t>Weight with liner, cap and lid (g)</t>
  </si>
  <si>
    <t>Weight of sample (g)</t>
  </si>
  <si>
    <t>Total weight of vessel with sample (g)</t>
  </si>
  <si>
    <t>Total weight of sealed vessel with leachant (g)</t>
  </si>
  <si>
    <t>Calculated weight of leachant (g)</t>
  </si>
  <si>
    <t>retightened?</t>
  </si>
  <si>
    <t>Total weight of vessel after heating (g)</t>
  </si>
  <si>
    <t xml:space="preserve">Mass loss (g) </t>
  </si>
  <si>
    <t>Mass loss (%)</t>
  </si>
  <si>
    <t>Calculated weight of leachate (g)</t>
  </si>
  <si>
    <t>16 Week samples</t>
  </si>
  <si>
    <t>I-40-01</t>
  </si>
  <si>
    <t>Used (SERCO)</t>
  </si>
  <si>
    <t>0.4Li-ISG01</t>
  </si>
  <si>
    <t>-</t>
  </si>
  <si>
    <t>N</t>
  </si>
  <si>
    <t>I-40-02</t>
  </si>
  <si>
    <t>I-40-03</t>
  </si>
  <si>
    <t>I-40-04</t>
  </si>
  <si>
    <t>Blank</t>
  </si>
  <si>
    <t>I-40-05</t>
  </si>
  <si>
    <t>I-40-06</t>
  </si>
  <si>
    <t>0.9Li-ISG01</t>
  </si>
  <si>
    <t>I-40-07</t>
  </si>
  <si>
    <t>I-40-08</t>
  </si>
  <si>
    <t>I-40-09</t>
  </si>
  <si>
    <t>I-40-10</t>
  </si>
  <si>
    <t>4 Week samples</t>
  </si>
  <si>
    <t>I-40-11</t>
  </si>
  <si>
    <t>New</t>
  </si>
  <si>
    <t>I-40-12</t>
  </si>
  <si>
    <t>I-40-13</t>
  </si>
  <si>
    <t>I-40-14</t>
  </si>
  <si>
    <t>I-40-15</t>
  </si>
  <si>
    <t>I-40-16</t>
  </si>
  <si>
    <t>I-40-17</t>
  </si>
  <si>
    <t>I-40-18</t>
  </si>
  <si>
    <t>I-40-19</t>
  </si>
  <si>
    <t>I-40-20</t>
  </si>
  <si>
    <t>2 Week samples</t>
  </si>
  <si>
    <t>I-40-21</t>
  </si>
  <si>
    <t>I-40-22</t>
  </si>
  <si>
    <t>I-40-23</t>
  </si>
  <si>
    <t>I-40-24</t>
  </si>
  <si>
    <t>I-40-25</t>
  </si>
  <si>
    <t>I-40-26</t>
  </si>
  <si>
    <t>I-40-27</t>
  </si>
  <si>
    <t>I-40-28</t>
  </si>
  <si>
    <t>I-40-29</t>
  </si>
  <si>
    <t>I-40-30</t>
  </si>
  <si>
    <t>1 Week samples</t>
  </si>
  <si>
    <t>I-40-31</t>
  </si>
  <si>
    <t>I-40-32</t>
  </si>
  <si>
    <t>I-40-33</t>
  </si>
  <si>
    <t>I-40-34</t>
  </si>
  <si>
    <t>I-40-35</t>
  </si>
  <si>
    <t>I-40-36</t>
  </si>
  <si>
    <t>I-40-37</t>
  </si>
  <si>
    <t>I-40-38</t>
  </si>
  <si>
    <t>I-40-39</t>
  </si>
  <si>
    <t>I-40-40</t>
  </si>
  <si>
    <t>I-90-01</t>
  </si>
  <si>
    <t>0.4Li-ISG02</t>
  </si>
  <si>
    <t>I-90-02</t>
  </si>
  <si>
    <t>I-90-03</t>
  </si>
  <si>
    <t>I-90-04</t>
  </si>
  <si>
    <t>I-90-05</t>
  </si>
  <si>
    <t>I-90-06</t>
  </si>
  <si>
    <t>0.9Li-ISG02</t>
  </si>
  <si>
    <t>I-90-07</t>
  </si>
  <si>
    <t>I-90-08</t>
  </si>
  <si>
    <t>I-90-09</t>
  </si>
  <si>
    <t>I-90-10</t>
  </si>
  <si>
    <t>Y</t>
  </si>
  <si>
    <t>I-90-11</t>
  </si>
  <si>
    <t>I-90-12</t>
  </si>
  <si>
    <t>I-90-13</t>
  </si>
  <si>
    <t>I-90-14</t>
  </si>
  <si>
    <t>I-90-15</t>
  </si>
  <si>
    <t>I-90-16</t>
  </si>
  <si>
    <t>I-90-17</t>
  </si>
  <si>
    <t>I-90-18</t>
  </si>
  <si>
    <t>I-90-19</t>
  </si>
  <si>
    <t>I-90-20</t>
  </si>
  <si>
    <t>I-90-21</t>
  </si>
  <si>
    <t>I-90-22</t>
  </si>
  <si>
    <t>I-90-23</t>
  </si>
  <si>
    <t>I-90-24</t>
  </si>
  <si>
    <t>I-90-25</t>
  </si>
  <si>
    <t>I-90-26</t>
  </si>
  <si>
    <t>I-90-27</t>
  </si>
  <si>
    <t>I-90-28</t>
  </si>
  <si>
    <t>I-90-29</t>
  </si>
  <si>
    <t>I-90-30</t>
  </si>
  <si>
    <t>I-90-31</t>
  </si>
  <si>
    <t>I-90-32</t>
  </si>
  <si>
    <t>I-90-33</t>
  </si>
  <si>
    <t>I-90-34</t>
  </si>
  <si>
    <t>I-90-35</t>
  </si>
  <si>
    <t>I-90-36</t>
  </si>
  <si>
    <t>I-90-37</t>
  </si>
  <si>
    <t>I-90-38</t>
  </si>
  <si>
    <t>I-90-39</t>
  </si>
  <si>
    <t>I-90-40</t>
  </si>
  <si>
    <t>Vi (g)</t>
  </si>
  <si>
    <t xml:space="preserve">V/m </t>
  </si>
  <si>
    <t>Density</t>
  </si>
  <si>
    <t>Largest SV ratio:</t>
  </si>
  <si>
    <t>Smallest SV ratio:</t>
  </si>
  <si>
    <t>Largest V/M</t>
  </si>
  <si>
    <t>Smallest V/M</t>
  </si>
  <si>
    <t>Average</t>
  </si>
  <si>
    <t>Sample</t>
  </si>
  <si>
    <t>SV ratio (m-1)</t>
  </si>
  <si>
    <t>Sample duration (weeks)</t>
  </si>
  <si>
    <t>Sample batch number</t>
  </si>
  <si>
    <r>
      <t>Sample temperature (</t>
    </r>
    <r>
      <rPr>
        <b/>
        <sz val="10"/>
        <rFont val="DejaVu Sans"/>
        <family val="2"/>
        <charset val="1"/>
      </rPr>
      <t>°C)</t>
    </r>
  </si>
  <si>
    <t>Leaching start date &amp; time</t>
  </si>
  <si>
    <t>Leaching end calculated date &amp; time</t>
  </si>
  <si>
    <t>Date &amp; time of tightness check</t>
  </si>
  <si>
    <t>Actual leaching end date &amp; time</t>
  </si>
  <si>
    <t>pH calibration</t>
  </si>
  <si>
    <t>Balance calibration (100g E2 std.)</t>
  </si>
  <si>
    <t>Leaching duration</t>
  </si>
  <si>
    <t>Temperature calibrated for</t>
  </si>
  <si>
    <t>Buffer 1</t>
  </si>
  <si>
    <t>Buffer 2</t>
  </si>
  <si>
    <t>Calibration date and time</t>
  </si>
  <si>
    <t>Ohaus (g)</t>
  </si>
  <si>
    <t>Cole-Parmer (g)</t>
  </si>
  <si>
    <t>Calibration date</t>
  </si>
  <si>
    <t>Balances</t>
  </si>
  <si>
    <t>16 weeks</t>
  </si>
  <si>
    <t>40°C</t>
  </si>
  <si>
    <t>Balance use</t>
  </si>
  <si>
    <t>Balance make</t>
  </si>
  <si>
    <t>90°C</t>
  </si>
  <si>
    <t>Weighing oxides</t>
  </si>
  <si>
    <t>Mettler AJ100</t>
  </si>
  <si>
    <t>4 weeks</t>
  </si>
  <si>
    <t>Weighing sample</t>
  </si>
  <si>
    <t>Ohaus Pioneer</t>
  </si>
  <si>
    <t>Weighing vessels</t>
  </si>
  <si>
    <t>Cole-Parmer Symmetry</t>
  </si>
  <si>
    <t>2 weeks</t>
  </si>
  <si>
    <t>1 week</t>
  </si>
  <si>
    <t>End 2 wk and 1 wk: 40</t>
  </si>
  <si>
    <t>End 2 wk and 1 wk: 90</t>
  </si>
  <si>
    <t>End 16 wk and 4 wk: 40</t>
  </si>
  <si>
    <t>End 16 wk and 4 wk: 90</t>
  </si>
  <si>
    <t>Pipette</t>
  </si>
  <si>
    <t>16 Week calibration</t>
  </si>
  <si>
    <t>Calibration time:</t>
  </si>
  <si>
    <t>Pipette number:</t>
  </si>
  <si>
    <t>Eppendorf research plus 0.5 to 5.0ml single channel pipette</t>
  </si>
  <si>
    <t>Measurement number</t>
  </si>
  <si>
    <t>5ml weight (g)</t>
  </si>
  <si>
    <r>
      <t>Measurement temperature (</t>
    </r>
    <r>
      <rPr>
        <b/>
        <sz val="10"/>
        <rFont val="DejaVu Sans"/>
        <family val="2"/>
        <charset val="1"/>
      </rPr>
      <t>°C)</t>
    </r>
  </si>
  <si>
    <t>2.5ml weight (g)</t>
  </si>
  <si>
    <t>0.5ml weight (g)</t>
  </si>
  <si>
    <t>Water Temperature</t>
  </si>
  <si>
    <t>Water density</t>
  </si>
  <si>
    <t>Accuracy</t>
  </si>
  <si>
    <t>Standard deviation</t>
  </si>
  <si>
    <t>Imprecision</t>
  </si>
  <si>
    <t>4 Week calibration</t>
  </si>
  <si>
    <t>Target weight</t>
  </si>
  <si>
    <t>2 Week calibration</t>
  </si>
  <si>
    <t>1 Week calibration</t>
  </si>
  <si>
    <t>End 16 wk and 4 wk</t>
  </si>
  <si>
    <t>Eppendorf research plus 0.01 to 0.1ml single channel pipette</t>
  </si>
  <si>
    <t>0.1ml weight (g)</t>
  </si>
  <si>
    <t>0.05ml weight (g)</t>
  </si>
  <si>
    <t>0.01ml weight (g)</t>
  </si>
  <si>
    <t>Eppendorf research plus 0.1 to 1ml single channel pipette</t>
  </si>
  <si>
    <t>1 ml weight (g)</t>
  </si>
  <si>
    <t>End 2 wk and 1 wk</t>
  </si>
  <si>
    <t>Pre-leaching pH measurements</t>
  </si>
  <si>
    <t xml:space="preserve">Planned leaching temperature </t>
  </si>
  <si>
    <t>Date and time</t>
  </si>
  <si>
    <t>Aliquot 1 pH</t>
  </si>
  <si>
    <t>Temperature (°C)</t>
  </si>
  <si>
    <t>Aliquot 2 pH</t>
  </si>
  <si>
    <t>Aliquot 3 pH</t>
  </si>
  <si>
    <t xml:space="preserve"> Average leachant pH</t>
  </si>
  <si>
    <t>Post-leaching pH measurements</t>
  </si>
  <si>
    <t>pH</t>
  </si>
  <si>
    <t>Notes</t>
  </si>
  <si>
    <t>Average pH for the set</t>
  </si>
  <si>
    <t>STDEV</t>
  </si>
  <si>
    <t>Blank average</t>
  </si>
  <si>
    <t>Blank stdev</t>
  </si>
  <si>
    <t>Average T for the set</t>
  </si>
  <si>
    <t xml:space="preserve"> </t>
  </si>
  <si>
    <t>No leachant left</t>
  </si>
  <si>
    <t>After buffer</t>
  </si>
  <si>
    <t>Centrifuge vessel number (Analysis)</t>
  </si>
  <si>
    <t>Empty weight (Analysis) (g)</t>
  </si>
  <si>
    <t>Weight with dilution (analysis) (g)</t>
  </si>
  <si>
    <t>Final weight with dilution &amp; sample (analysis) (g)</t>
  </si>
  <si>
    <t>Weight of HNO3 (g)</t>
  </si>
  <si>
    <t>Weight of HNO3 &amp; sample (g)</t>
  </si>
  <si>
    <t>Dilution factor (gravimetric)</t>
  </si>
  <si>
    <t>40-S-19</t>
  </si>
  <si>
    <t>40-S-20</t>
  </si>
  <si>
    <t>40-S-21</t>
  </si>
  <si>
    <t>40-B-13</t>
  </si>
  <si>
    <t>40-B-14</t>
  </si>
  <si>
    <t>40-S-22</t>
  </si>
  <si>
    <t>40-S-23</t>
  </si>
  <si>
    <t>40-S-24</t>
  </si>
  <si>
    <t>40-B-15</t>
  </si>
  <si>
    <t>40-B-16</t>
  </si>
  <si>
    <t>40-S-13</t>
  </si>
  <si>
    <t>40-S-14</t>
  </si>
  <si>
    <t>40-S-15</t>
  </si>
  <si>
    <t>40-B-09</t>
  </si>
  <si>
    <t>40-B-10</t>
  </si>
  <si>
    <t>40-S-16</t>
  </si>
  <si>
    <t>40-S-17</t>
  </si>
  <si>
    <t>40-S-18</t>
  </si>
  <si>
    <t>40-B-11</t>
  </si>
  <si>
    <t>40-B-12</t>
  </si>
  <si>
    <t>40-S-07</t>
  </si>
  <si>
    <t>40-S-08</t>
  </si>
  <si>
    <t>40-S-09</t>
  </si>
  <si>
    <t>40-B-05</t>
  </si>
  <si>
    <t>40-B-06</t>
  </si>
  <si>
    <t>40-S-10</t>
  </si>
  <si>
    <t>40-S-11</t>
  </si>
  <si>
    <t>40-S-12</t>
  </si>
  <si>
    <t>40-B-07</t>
  </si>
  <si>
    <t>40-B-08</t>
  </si>
  <si>
    <t>40-S-01</t>
  </si>
  <si>
    <t>40-S-02</t>
  </si>
  <si>
    <t>40-S-03</t>
  </si>
  <si>
    <t>40-B-01</t>
  </si>
  <si>
    <t>40-B-02</t>
  </si>
  <si>
    <t>40-S-04</t>
  </si>
  <si>
    <t>40-S-05</t>
  </si>
  <si>
    <t>40-S-06</t>
  </si>
  <si>
    <t>40-B-03</t>
  </si>
  <si>
    <t>40-B-04</t>
  </si>
  <si>
    <t>90-S-19</t>
  </si>
  <si>
    <t>90-S-20</t>
  </si>
  <si>
    <t>90-S-21</t>
  </si>
  <si>
    <t>90-B-13</t>
  </si>
  <si>
    <t>90-B-14</t>
  </si>
  <si>
    <t>90-S-22</t>
  </si>
  <si>
    <t>90-S-23</t>
  </si>
  <si>
    <t>90-S-24</t>
  </si>
  <si>
    <t>90-B-15</t>
  </si>
  <si>
    <t>90-B-16</t>
  </si>
  <si>
    <t>90-S-13</t>
  </si>
  <si>
    <t>90-S-14</t>
  </si>
  <si>
    <t>90-S-15</t>
  </si>
  <si>
    <t>90-B-09</t>
  </si>
  <si>
    <t>90-B-10</t>
  </si>
  <si>
    <t>90-S-16</t>
  </si>
  <si>
    <t>90-S-17</t>
  </si>
  <si>
    <t>90-S-18</t>
  </si>
  <si>
    <t>90-B-11</t>
  </si>
  <si>
    <t>90-B-12</t>
  </si>
  <si>
    <t>90-S-07</t>
  </si>
  <si>
    <t>90-S-08</t>
  </si>
  <si>
    <t>90-S-09</t>
  </si>
  <si>
    <t>90-B-05</t>
  </si>
  <si>
    <t>90-B-06</t>
  </si>
  <si>
    <t>90-S-10</t>
  </si>
  <si>
    <t>90-S-11</t>
  </si>
  <si>
    <t>90-S-12</t>
  </si>
  <si>
    <t>90-B-07</t>
  </si>
  <si>
    <t>90-B-08</t>
  </si>
  <si>
    <t>90-S-01</t>
  </si>
  <si>
    <t>90-S-02</t>
  </si>
  <si>
    <t>90-S-03</t>
  </si>
  <si>
    <t>90-B-01</t>
  </si>
  <si>
    <t>90-B-02</t>
  </si>
  <si>
    <t>90-S-04</t>
  </si>
  <si>
    <t>90-S-05</t>
  </si>
  <si>
    <t>90-S-06</t>
  </si>
  <si>
    <t>90-B-03</t>
  </si>
  <si>
    <t>90-B-04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</si>
</sst>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dd/mm/yyyy\ \ hh:mm"/>
    <numFmt numFmtId="167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DejaVu Sans"/>
      <family val="2"/>
      <charset val="1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textRotation="90"/>
    </xf>
    <xf numFmtId="14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2" borderId="0" xfId="0" applyFill="1"/>
    <xf numFmtId="14" fontId="0" fillId="2" borderId="0" xfId="0" applyNumberFormat="1" applyFill="1"/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/>
    <xf numFmtId="164" fontId="0" fillId="2" borderId="0" xfId="0" applyNumberFormat="1" applyFill="1"/>
    <xf numFmtId="10" fontId="0" fillId="2" borderId="0" xfId="0" applyNumberFormat="1" applyFill="1"/>
    <xf numFmtId="0" fontId="2" fillId="0" borderId="0" xfId="0" applyFont="1" applyAlignment="1">
      <alignment horizontal="center" vertical="center" textRotation="90" wrapText="1"/>
    </xf>
    <xf numFmtId="165" fontId="0" fillId="0" borderId="0" xfId="0" applyNumberFormat="1"/>
    <xf numFmtId="2" fontId="2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22" fontId="0" fillId="0" borderId="1" xfId="0" applyNumberForma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6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0" applyNumberFormat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center" vertical="center"/>
    </xf>
    <xf numFmtId="167" fontId="0" fillId="0" borderId="1" xfId="0" applyNumberFormat="1" applyBorder="1"/>
    <xf numFmtId="0" fontId="0" fillId="0" borderId="3" xfId="0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/>
    <xf numFmtId="0" fontId="2" fillId="0" borderId="2" xfId="0" applyFont="1" applyBorder="1" applyAlignment="1">
      <alignment horizontal="center" vertical="center" textRotation="90"/>
    </xf>
    <xf numFmtId="2" fontId="0" fillId="0" borderId="6" xfId="0" applyNumberFormat="1" applyBorder="1"/>
    <xf numFmtId="0" fontId="2" fillId="0" borderId="3" xfId="0" applyFont="1" applyBorder="1" applyAlignment="1">
      <alignment horizontal="center" vertical="center" textRotation="90"/>
    </xf>
    <xf numFmtId="0" fontId="0" fillId="0" borderId="6" xfId="0" applyBorder="1"/>
    <xf numFmtId="2" fontId="8" fillId="0" borderId="1" xfId="0" applyNumberFormat="1" applyFont="1" applyBorder="1"/>
    <xf numFmtId="0" fontId="0" fillId="2" borderId="1" xfId="0" applyFill="1" applyBorder="1"/>
    <xf numFmtId="2" fontId="0" fillId="2" borderId="1" xfId="0" applyNumberFormat="1" applyFill="1" applyBorder="1"/>
    <xf numFmtId="167" fontId="0" fillId="2" borderId="1" xfId="0" applyNumberFormat="1" applyFill="1" applyBorder="1"/>
    <xf numFmtId="0" fontId="0" fillId="2" borderId="6" xfId="0" applyFill="1" applyBorder="1"/>
    <xf numFmtId="0" fontId="8" fillId="0" borderId="1" xfId="0" applyFont="1" applyBorder="1"/>
    <xf numFmtId="167" fontId="8" fillId="0" borderId="1" xfId="0" applyNumberFormat="1" applyFont="1" applyBorder="1"/>
    <xf numFmtId="2" fontId="8" fillId="0" borderId="6" xfId="0" applyNumberFormat="1" applyFont="1" applyBorder="1"/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7" fillId="0" borderId="7" xfId="0" applyFont="1" applyBorder="1"/>
    <xf numFmtId="0" fontId="0" fillId="0" borderId="7" xfId="0" applyBorder="1"/>
    <xf numFmtId="167" fontId="0" fillId="0" borderId="7" xfId="0" applyNumberFormat="1" applyBorder="1"/>
    <xf numFmtId="0" fontId="2" fillId="0" borderId="4" xfId="0" applyFont="1" applyBorder="1"/>
    <xf numFmtId="167" fontId="2" fillId="0" borderId="4" xfId="0" applyNumberFormat="1" applyFont="1" applyBorder="1"/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/>
    </xf>
    <xf numFmtId="2" fontId="0" fillId="0" borderId="1" xfId="0" applyNumberForma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0" fontId="8" fillId="0" borderId="6" xfId="0" applyFont="1" applyBorder="1"/>
    <xf numFmtId="2" fontId="0" fillId="2" borderId="1" xfId="0" applyNumberForma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2" fontId="0" fillId="2" borderId="6" xfId="0" applyNumberFormat="1" applyFill="1" applyBorder="1"/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4" fontId="2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164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lg29\OneDrive%20-%20University%20Of%20Cambridge\Leaching%20weighing%20and%20results\Li-ISG\Pre%20and%20post%20leaching%20weighing%20results%20(Li-ISG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versityofcambridgecloud-my.sharepoint.com/personal/tlg29_cam_ac_uk/Documents/Glass%20making,%20sieving,%20washing%20and%20weighing/Monoliths,%20Sieving%20and%20Washing,%20density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ing"/>
      <sheetName val="SV ratios"/>
      <sheetName val="times"/>
      <sheetName val="Instrument calibration"/>
      <sheetName val="pH"/>
      <sheetName val="PP and PE and DF"/>
    </sheetNames>
    <sheetDataSet>
      <sheetData sheetId="0">
        <row r="2">
          <cell r="J2">
            <v>0.3982</v>
          </cell>
          <cell r="M2">
            <v>4.0199999999999818</v>
          </cell>
        </row>
        <row r="3">
          <cell r="J3">
            <v>0.39879999999999999</v>
          </cell>
          <cell r="M3">
            <v>4.0200000000000102</v>
          </cell>
        </row>
        <row r="4">
          <cell r="J4">
            <v>0.39889999999999998</v>
          </cell>
          <cell r="M4">
            <v>4.0300000000000011</v>
          </cell>
        </row>
        <row r="5">
          <cell r="J5" t="str">
            <v>Blank</v>
          </cell>
          <cell r="M5">
            <v>4.0200000000000102</v>
          </cell>
        </row>
        <row r="6">
          <cell r="J6" t="str">
            <v>Blank</v>
          </cell>
          <cell r="M6">
            <v>4.0099999999999909</v>
          </cell>
        </row>
        <row r="7">
          <cell r="J7">
            <v>0.39889999999999998</v>
          </cell>
          <cell r="M7">
            <v>4.0200000000000102</v>
          </cell>
        </row>
        <row r="8">
          <cell r="J8">
            <v>0.39989999999999998</v>
          </cell>
          <cell r="M8">
            <v>4.0200000000000102</v>
          </cell>
        </row>
        <row r="9">
          <cell r="J9">
            <v>0.39929999999999999</v>
          </cell>
          <cell r="M9">
            <v>4.0100000000000193</v>
          </cell>
        </row>
        <row r="10">
          <cell r="J10" t="str">
            <v>Blank</v>
          </cell>
          <cell r="M10">
            <v>4</v>
          </cell>
        </row>
        <row r="11">
          <cell r="J11" t="str">
            <v>Blank</v>
          </cell>
          <cell r="M11">
            <v>4</v>
          </cell>
        </row>
        <row r="12">
          <cell r="J12">
            <v>0.39800000000000002</v>
          </cell>
          <cell r="M12">
            <v>3.9880656389855744</v>
          </cell>
        </row>
        <row r="13">
          <cell r="J13">
            <v>0.39900000000000002</v>
          </cell>
          <cell r="M13">
            <v>3.9880656389856028</v>
          </cell>
        </row>
        <row r="14">
          <cell r="J14">
            <v>0.39939999999999998</v>
          </cell>
          <cell r="M14">
            <v>3.9781203381402293</v>
          </cell>
        </row>
        <row r="15">
          <cell r="J15" t="str">
            <v>Blank</v>
          </cell>
          <cell r="M15">
            <v>3.9880656389856028</v>
          </cell>
        </row>
        <row r="16">
          <cell r="J16" t="str">
            <v>Blank</v>
          </cell>
          <cell r="M16">
            <v>4.0079562406762648</v>
          </cell>
        </row>
        <row r="17">
          <cell r="J17">
            <v>0.39989999999999998</v>
          </cell>
          <cell r="M17">
            <v>3.9880656389855744</v>
          </cell>
        </row>
        <row r="18">
          <cell r="J18">
            <v>0.39910000000000001</v>
          </cell>
          <cell r="M18">
            <v>3.9681750372948841</v>
          </cell>
        </row>
        <row r="19">
          <cell r="J19">
            <v>0.39960000000000001</v>
          </cell>
          <cell r="M19">
            <v>3.998010939830948</v>
          </cell>
        </row>
        <row r="20">
          <cell r="J20" t="str">
            <v>Blank</v>
          </cell>
          <cell r="M20">
            <v>3.9880656389855744</v>
          </cell>
        </row>
        <row r="21">
          <cell r="J21" t="str">
            <v>Blank</v>
          </cell>
          <cell r="M21">
            <v>3.9681750372948557</v>
          </cell>
        </row>
        <row r="22">
          <cell r="J22">
            <v>0.39989999999999998</v>
          </cell>
          <cell r="M22">
            <v>4.0123764846791232</v>
          </cell>
        </row>
        <row r="23">
          <cell r="J23">
            <v>0.39929999999999999</v>
          </cell>
          <cell r="M23">
            <v>3.9924144126160286</v>
          </cell>
        </row>
        <row r="24">
          <cell r="J24">
            <v>0.39879999999999999</v>
          </cell>
          <cell r="M24">
            <v>4.0023954486475759</v>
          </cell>
        </row>
        <row r="25">
          <cell r="J25" t="str">
            <v>Blank</v>
          </cell>
          <cell r="M25">
            <v>4.0023954486475759</v>
          </cell>
        </row>
        <row r="26">
          <cell r="J26" t="str">
            <v>Blank</v>
          </cell>
          <cell r="M26">
            <v>4.0123764846790948</v>
          </cell>
        </row>
        <row r="27">
          <cell r="J27">
            <v>0.39950000000000002</v>
          </cell>
          <cell r="M27">
            <v>4.0023954486476043</v>
          </cell>
        </row>
        <row r="28">
          <cell r="J28">
            <v>0.39929999999999999</v>
          </cell>
          <cell r="M28">
            <v>4.0023954486475475</v>
          </cell>
        </row>
        <row r="29">
          <cell r="J29">
            <v>0.39979999999999999</v>
          </cell>
          <cell r="M29">
            <v>3.9924144126160286</v>
          </cell>
        </row>
        <row r="30">
          <cell r="J30" t="str">
            <v>Blank</v>
          </cell>
          <cell r="M30">
            <v>4.0123764846790948</v>
          </cell>
        </row>
        <row r="31">
          <cell r="J31" t="str">
            <v>Blank</v>
          </cell>
          <cell r="M31">
            <v>4.0123764846791232</v>
          </cell>
        </row>
        <row r="32">
          <cell r="J32">
            <v>0.39939999999999998</v>
          </cell>
          <cell r="M32">
            <v>4.011976047904227</v>
          </cell>
        </row>
        <row r="33">
          <cell r="J33">
            <v>0.39950000000000002</v>
          </cell>
          <cell r="M33">
            <v>4.0019960079840189</v>
          </cell>
        </row>
        <row r="34">
          <cell r="J34">
            <v>0.39979999999999999</v>
          </cell>
          <cell r="M34">
            <v>4.0119760479041702</v>
          </cell>
        </row>
        <row r="35">
          <cell r="J35" t="str">
            <v>Blank</v>
          </cell>
          <cell r="M35">
            <v>4.0119760479041702</v>
          </cell>
        </row>
        <row r="36">
          <cell r="J36" t="str">
            <v>Blank</v>
          </cell>
          <cell r="M36">
            <v>4.0019960079840189</v>
          </cell>
        </row>
        <row r="37">
          <cell r="J37">
            <v>0.39989999999999998</v>
          </cell>
          <cell r="M37">
            <v>3.9920159680638676</v>
          </cell>
        </row>
        <row r="38">
          <cell r="J38">
            <v>0.39979999999999999</v>
          </cell>
          <cell r="M38">
            <v>4.0019960079840189</v>
          </cell>
        </row>
        <row r="39">
          <cell r="J39">
            <v>0.3997</v>
          </cell>
          <cell r="M39">
            <v>4.0019960079840189</v>
          </cell>
        </row>
        <row r="40">
          <cell r="J40" t="str">
            <v>Blank</v>
          </cell>
          <cell r="M40">
            <v>4.0119760479041702</v>
          </cell>
        </row>
        <row r="41">
          <cell r="J41" t="str">
            <v>Blank</v>
          </cell>
          <cell r="M41">
            <v>4.0119760479041986</v>
          </cell>
        </row>
        <row r="42">
          <cell r="M42">
            <v>4.0099999999999909</v>
          </cell>
        </row>
        <row r="43">
          <cell r="M43">
            <v>4.0099999999999909</v>
          </cell>
        </row>
        <row r="44">
          <cell r="M44">
            <v>3.9800000000000182</v>
          </cell>
        </row>
        <row r="45">
          <cell r="M45">
            <v>3.9899999999999807</v>
          </cell>
        </row>
        <row r="46">
          <cell r="M46">
            <v>3.9799999999999898</v>
          </cell>
        </row>
        <row r="47">
          <cell r="M47">
            <v>4</v>
          </cell>
        </row>
        <row r="48">
          <cell r="M48">
            <v>3.9900000000000091</v>
          </cell>
        </row>
        <row r="49">
          <cell r="M49">
            <v>3.9899999999999807</v>
          </cell>
        </row>
        <row r="50">
          <cell r="M50">
            <v>4.0099999999999909</v>
          </cell>
        </row>
        <row r="51">
          <cell r="M51">
            <v>3.9799999999999898</v>
          </cell>
        </row>
        <row r="52">
          <cell r="J52">
            <v>0.3997</v>
          </cell>
          <cell r="M52">
            <v>3.9880656389855744</v>
          </cell>
        </row>
        <row r="53">
          <cell r="J53">
            <v>0.39989999999999998</v>
          </cell>
          <cell r="M53">
            <v>3.9880656389855744</v>
          </cell>
        </row>
        <row r="54">
          <cell r="J54">
            <v>0.39950000000000002</v>
          </cell>
          <cell r="M54">
            <v>3.9980109398309196</v>
          </cell>
        </row>
        <row r="55">
          <cell r="J55" t="str">
            <v>Blank</v>
          </cell>
          <cell r="M55">
            <v>3.9880656389855744</v>
          </cell>
        </row>
        <row r="56">
          <cell r="J56" t="str">
            <v>Blank</v>
          </cell>
          <cell r="M56">
            <v>3.998010939830948</v>
          </cell>
        </row>
        <row r="57">
          <cell r="J57">
            <v>0.39939999999999998</v>
          </cell>
          <cell r="M57">
            <v>3.998010939830948</v>
          </cell>
        </row>
        <row r="58">
          <cell r="J58">
            <v>0.39989999999999998</v>
          </cell>
          <cell r="M58">
            <v>3.9880656389856028</v>
          </cell>
        </row>
        <row r="59">
          <cell r="J59">
            <v>0.39989999999999998</v>
          </cell>
          <cell r="M59">
            <v>3.9980109398309196</v>
          </cell>
        </row>
        <row r="60">
          <cell r="J60" t="str">
            <v>Blank</v>
          </cell>
          <cell r="M60">
            <v>3.9980109398309196</v>
          </cell>
        </row>
        <row r="61">
          <cell r="J61" t="str">
            <v>Blank</v>
          </cell>
          <cell r="M61">
            <v>4.0079562406762932</v>
          </cell>
        </row>
        <row r="62">
          <cell r="J62">
            <v>0.39960000000000001</v>
          </cell>
          <cell r="M62">
            <v>4.0123764846790948</v>
          </cell>
        </row>
        <row r="63">
          <cell r="J63">
            <v>0.39910000000000001</v>
          </cell>
          <cell r="M63">
            <v>4.0123764846790948</v>
          </cell>
        </row>
        <row r="64">
          <cell r="J64">
            <v>0.39950000000000002</v>
          </cell>
          <cell r="M64">
            <v>4.0023954486475759</v>
          </cell>
        </row>
        <row r="65">
          <cell r="J65" t="str">
            <v>Blank</v>
          </cell>
          <cell r="M65">
            <v>4.0023954486476043</v>
          </cell>
        </row>
        <row r="66">
          <cell r="J66" t="str">
            <v>Blank</v>
          </cell>
          <cell r="M66">
            <v>4.0023954486475475</v>
          </cell>
        </row>
        <row r="67">
          <cell r="J67">
            <v>0.39989999999999998</v>
          </cell>
          <cell r="M67">
            <v>4.0023954486476043</v>
          </cell>
        </row>
        <row r="68">
          <cell r="J68">
            <v>0.39929999999999999</v>
          </cell>
          <cell r="M68">
            <v>4.0023954486475475</v>
          </cell>
        </row>
        <row r="69">
          <cell r="J69">
            <v>0.39900000000000002</v>
          </cell>
          <cell r="M69">
            <v>4.0023954486475759</v>
          </cell>
        </row>
        <row r="70">
          <cell r="J70" t="str">
            <v>Blank</v>
          </cell>
          <cell r="M70">
            <v>4.0023954486475759</v>
          </cell>
        </row>
        <row r="71">
          <cell r="J71" t="str">
            <v>Blank</v>
          </cell>
          <cell r="M71">
            <v>4.0023954486475475</v>
          </cell>
        </row>
        <row r="72">
          <cell r="J72">
            <v>0.3997</v>
          </cell>
          <cell r="M72">
            <v>4.0119760479041986</v>
          </cell>
        </row>
        <row r="73">
          <cell r="J73">
            <v>0.39950000000000002</v>
          </cell>
          <cell r="M73">
            <v>4.0119760479041702</v>
          </cell>
        </row>
        <row r="74">
          <cell r="J74">
            <v>0.39950000000000002</v>
          </cell>
          <cell r="M74">
            <v>4.0019960079840189</v>
          </cell>
        </row>
        <row r="75">
          <cell r="J75" t="str">
            <v>Blank</v>
          </cell>
          <cell r="M75">
            <v>4.0119760479041986</v>
          </cell>
        </row>
        <row r="76">
          <cell r="J76" t="str">
            <v>Blank</v>
          </cell>
          <cell r="M76">
            <v>4.0019960079840189</v>
          </cell>
        </row>
        <row r="77">
          <cell r="J77">
            <v>0.3997</v>
          </cell>
          <cell r="M77">
            <v>4.0019960079840189</v>
          </cell>
        </row>
        <row r="78">
          <cell r="J78">
            <v>0.39989999999999998</v>
          </cell>
          <cell r="M78">
            <v>4.0019960079840473</v>
          </cell>
        </row>
        <row r="79">
          <cell r="J79">
            <v>0.39989999999999998</v>
          </cell>
          <cell r="M79">
            <v>4.0019960079840189</v>
          </cell>
        </row>
        <row r="80">
          <cell r="J80" t="str">
            <v>Blank</v>
          </cell>
          <cell r="M80">
            <v>4.0019960079840473</v>
          </cell>
        </row>
        <row r="81">
          <cell r="J81" t="str">
            <v>Blank</v>
          </cell>
          <cell r="M81">
            <v>4.0119760479041702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"/>
      <sheetName val="MW(Initial)"/>
      <sheetName val="ISG, MW25, MW"/>
      <sheetName val="Li-ISG"/>
      <sheetName val="MW25 (GP060516G)"/>
      <sheetName val="Li-Mg-EM density"/>
      <sheetName val="Sheet1"/>
      <sheetName val="Li-ISG density"/>
      <sheetName val="Printable sieving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C17">
            <v>2.5011489330426047</v>
          </cell>
        </row>
        <row r="18">
          <cell r="C18">
            <v>2.5056519550194429</v>
          </cell>
        </row>
        <row r="19">
          <cell r="C19">
            <v>2.483457327783007</v>
          </cell>
        </row>
        <row r="20">
          <cell r="C20">
            <v>2.4803956443861597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1"/>
  <sheetViews>
    <sheetView tabSelected="1" workbookViewId="0">
      <selection activeCell="F13" sqref="A1:S81"/>
    </sheetView>
  </sheetViews>
  <sheetFormatPr defaultRowHeight="15"/>
  <cols>
    <col min="3" max="3" width="10.7109375" bestFit="1" customWidth="1"/>
  </cols>
  <sheetData>
    <row r="1" spans="1:19" ht="10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7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>
      <c r="A2" s="5" t="s">
        <v>18</v>
      </c>
      <c r="B2" t="s">
        <v>19</v>
      </c>
      <c r="C2" s="6">
        <v>42831</v>
      </c>
      <c r="D2">
        <v>40</v>
      </c>
      <c r="E2" t="s">
        <v>20</v>
      </c>
      <c r="F2" t="s">
        <v>21</v>
      </c>
      <c r="G2">
        <v>6</v>
      </c>
      <c r="H2" s="7" t="s">
        <v>22</v>
      </c>
      <c r="I2" s="8">
        <v>134.32</v>
      </c>
      <c r="J2" s="9">
        <v>0.3982</v>
      </c>
      <c r="K2" s="8">
        <v>134.71</v>
      </c>
      <c r="L2" s="8">
        <v>138.72999999999999</v>
      </c>
      <c r="M2" s="8">
        <f>L2-K2</f>
        <v>4.0199999999999818</v>
      </c>
      <c r="N2" t="s">
        <v>23</v>
      </c>
      <c r="O2" s="8">
        <v>100.19</v>
      </c>
      <c r="P2" s="8">
        <v>138.72999999999999</v>
      </c>
      <c r="Q2" s="8">
        <f>L2-P2</f>
        <v>0</v>
      </c>
      <c r="R2" s="10">
        <f>Q2/M2</f>
        <v>0</v>
      </c>
      <c r="S2" s="8">
        <f>M2-Q2</f>
        <v>4.0199999999999818</v>
      </c>
    </row>
    <row r="3" spans="1:19">
      <c r="A3" s="5"/>
      <c r="B3" t="s">
        <v>24</v>
      </c>
      <c r="C3" s="6">
        <v>42831</v>
      </c>
      <c r="D3">
        <v>40</v>
      </c>
      <c r="E3" t="s">
        <v>20</v>
      </c>
      <c r="F3" t="s">
        <v>21</v>
      </c>
      <c r="G3">
        <v>6</v>
      </c>
      <c r="H3" s="7" t="s">
        <v>22</v>
      </c>
      <c r="I3" s="8">
        <v>135.86000000000001</v>
      </c>
      <c r="J3" s="9">
        <v>0.39879999999999999</v>
      </c>
      <c r="K3" s="8">
        <v>136.26</v>
      </c>
      <c r="L3" s="8">
        <v>140.28</v>
      </c>
      <c r="M3" s="8">
        <f t="shared" ref="M3:M66" si="0">L3-K3</f>
        <v>4.0200000000000102</v>
      </c>
      <c r="N3" t="s">
        <v>23</v>
      </c>
      <c r="O3" s="8">
        <v>100.19</v>
      </c>
      <c r="P3" s="8">
        <v>140.28</v>
      </c>
      <c r="Q3" s="8">
        <f>L3-P3</f>
        <v>0</v>
      </c>
      <c r="R3" s="10">
        <f t="shared" ref="R3:R66" si="1">Q3/M3</f>
        <v>0</v>
      </c>
      <c r="S3" s="8">
        <f t="shared" ref="S3:S66" si="2">M3-Q3</f>
        <v>4.0200000000000102</v>
      </c>
    </row>
    <row r="4" spans="1:19">
      <c r="A4" s="5"/>
      <c r="B4" t="s">
        <v>25</v>
      </c>
      <c r="C4" s="6">
        <v>42831</v>
      </c>
      <c r="D4">
        <v>40</v>
      </c>
      <c r="E4" t="s">
        <v>20</v>
      </c>
      <c r="F4" t="s">
        <v>21</v>
      </c>
      <c r="G4">
        <v>6</v>
      </c>
      <c r="H4" s="7" t="s">
        <v>22</v>
      </c>
      <c r="I4" s="8">
        <v>140.43</v>
      </c>
      <c r="J4" s="9">
        <v>0.39889999999999998</v>
      </c>
      <c r="K4" s="8">
        <v>140.83000000000001</v>
      </c>
      <c r="L4" s="8">
        <v>144.86000000000001</v>
      </c>
      <c r="M4" s="8">
        <f t="shared" si="0"/>
        <v>4.0300000000000011</v>
      </c>
      <c r="N4" t="s">
        <v>23</v>
      </c>
      <c r="O4" s="8">
        <v>100.19</v>
      </c>
      <c r="P4" s="8">
        <v>144.87</v>
      </c>
      <c r="Q4" s="8">
        <f>L4-P4</f>
        <v>-9.9999999999909051E-3</v>
      </c>
      <c r="R4" s="10">
        <f t="shared" si="1"/>
        <v>-2.4813895781615144E-3</v>
      </c>
      <c r="S4" s="8">
        <f t="shared" si="2"/>
        <v>4.039999999999992</v>
      </c>
    </row>
    <row r="5" spans="1:19">
      <c r="A5" s="5"/>
      <c r="B5" t="s">
        <v>26</v>
      </c>
      <c r="C5" s="6">
        <v>42831</v>
      </c>
      <c r="D5">
        <v>40</v>
      </c>
      <c r="E5" t="s">
        <v>20</v>
      </c>
      <c r="F5" t="s">
        <v>27</v>
      </c>
      <c r="G5">
        <v>6</v>
      </c>
      <c r="H5" s="7" t="s">
        <v>22</v>
      </c>
      <c r="I5" s="8">
        <v>135.09</v>
      </c>
      <c r="J5" s="9" t="s">
        <v>27</v>
      </c>
      <c r="K5" s="8">
        <v>135.09</v>
      </c>
      <c r="L5" s="8">
        <v>139.11000000000001</v>
      </c>
      <c r="M5" s="8">
        <f t="shared" si="0"/>
        <v>4.0200000000000102</v>
      </c>
      <c r="N5" t="s">
        <v>23</v>
      </c>
      <c r="O5" s="8">
        <v>100.19</v>
      </c>
      <c r="P5" s="8">
        <v>139.09</v>
      </c>
      <c r="Q5" s="8">
        <f t="shared" ref="Q5:Q68" si="3">L5-P5</f>
        <v>2.0000000000010232E-2</v>
      </c>
      <c r="R5" s="10">
        <f>Q5/M5</f>
        <v>4.9751243781119853E-3</v>
      </c>
      <c r="S5" s="8">
        <f t="shared" si="2"/>
        <v>4</v>
      </c>
    </row>
    <row r="6" spans="1:19">
      <c r="A6" s="5"/>
      <c r="B6" t="s">
        <v>28</v>
      </c>
      <c r="C6" s="6">
        <v>42831</v>
      </c>
      <c r="D6">
        <v>40</v>
      </c>
      <c r="E6" t="s">
        <v>20</v>
      </c>
      <c r="F6" t="s">
        <v>27</v>
      </c>
      <c r="G6">
        <v>6</v>
      </c>
      <c r="H6" s="7" t="s">
        <v>22</v>
      </c>
      <c r="I6" s="8">
        <v>143.30000000000001</v>
      </c>
      <c r="J6" s="9" t="s">
        <v>27</v>
      </c>
      <c r="K6" s="8">
        <v>143.30000000000001</v>
      </c>
      <c r="L6" s="8">
        <v>147.31</v>
      </c>
      <c r="M6" s="8">
        <f t="shared" si="0"/>
        <v>4.0099999999999909</v>
      </c>
      <c r="N6" t="s">
        <v>23</v>
      </c>
      <c r="O6" s="8">
        <v>100.19</v>
      </c>
      <c r="P6" s="8">
        <v>147.29</v>
      </c>
      <c r="Q6" s="8">
        <f t="shared" si="3"/>
        <v>2.0000000000010232E-2</v>
      </c>
      <c r="R6" s="10">
        <f t="shared" si="1"/>
        <v>4.9875311720723884E-3</v>
      </c>
      <c r="S6" s="8">
        <f t="shared" si="2"/>
        <v>3.9899999999999807</v>
      </c>
    </row>
    <row r="7" spans="1:19">
      <c r="A7" s="5"/>
      <c r="B7" t="s">
        <v>29</v>
      </c>
      <c r="C7" s="6">
        <v>42831</v>
      </c>
      <c r="D7">
        <v>40</v>
      </c>
      <c r="E7" t="s">
        <v>20</v>
      </c>
      <c r="F7" t="s">
        <v>30</v>
      </c>
      <c r="G7">
        <v>6</v>
      </c>
      <c r="H7" s="7" t="s">
        <v>22</v>
      </c>
      <c r="I7" s="8">
        <v>136.63999999999999</v>
      </c>
      <c r="J7" s="9">
        <v>0.39889999999999998</v>
      </c>
      <c r="K7" s="8">
        <v>137.04</v>
      </c>
      <c r="L7" s="8">
        <v>141.06</v>
      </c>
      <c r="M7" s="8">
        <f t="shared" si="0"/>
        <v>4.0200000000000102</v>
      </c>
      <c r="N7" t="s">
        <v>23</v>
      </c>
      <c r="O7" s="8">
        <v>100.19</v>
      </c>
      <c r="P7" s="8">
        <v>141.07</v>
      </c>
      <c r="Q7" s="8">
        <f t="shared" si="3"/>
        <v>-9.9999999999909051E-3</v>
      </c>
      <c r="R7" s="10">
        <f t="shared" si="1"/>
        <v>-2.4875621890524577E-3</v>
      </c>
      <c r="S7" s="8">
        <f t="shared" si="2"/>
        <v>4.0300000000000011</v>
      </c>
    </row>
    <row r="8" spans="1:19">
      <c r="A8" s="5"/>
      <c r="B8" t="s">
        <v>31</v>
      </c>
      <c r="C8" s="6">
        <v>42831</v>
      </c>
      <c r="D8">
        <v>40</v>
      </c>
      <c r="E8" t="s">
        <v>20</v>
      </c>
      <c r="F8" t="s">
        <v>30</v>
      </c>
      <c r="G8">
        <v>6</v>
      </c>
      <c r="H8" s="7" t="s">
        <v>22</v>
      </c>
      <c r="I8" s="8">
        <v>135.41</v>
      </c>
      <c r="J8" s="9">
        <v>0.39989999999999998</v>
      </c>
      <c r="K8" s="8">
        <v>135.81</v>
      </c>
      <c r="L8" s="8">
        <v>139.83000000000001</v>
      </c>
      <c r="M8" s="8">
        <f t="shared" si="0"/>
        <v>4.0200000000000102</v>
      </c>
      <c r="N8" t="s">
        <v>23</v>
      </c>
      <c r="O8" s="8">
        <v>100.19</v>
      </c>
      <c r="P8" s="8">
        <v>139.83000000000001</v>
      </c>
      <c r="Q8" s="8">
        <f t="shared" si="3"/>
        <v>0</v>
      </c>
      <c r="R8" s="10">
        <f t="shared" si="1"/>
        <v>0</v>
      </c>
      <c r="S8" s="8">
        <f t="shared" si="2"/>
        <v>4.0200000000000102</v>
      </c>
    </row>
    <row r="9" spans="1:19">
      <c r="A9" s="5"/>
      <c r="B9" s="11" t="s">
        <v>32</v>
      </c>
      <c r="C9" s="12">
        <v>42831</v>
      </c>
      <c r="D9" s="11">
        <v>40</v>
      </c>
      <c r="E9" s="11" t="s">
        <v>20</v>
      </c>
      <c r="F9" s="11" t="s">
        <v>30</v>
      </c>
      <c r="G9" s="11">
        <v>6</v>
      </c>
      <c r="H9" s="13" t="s">
        <v>22</v>
      </c>
      <c r="I9" s="14">
        <v>134.80000000000001</v>
      </c>
      <c r="J9" s="15">
        <v>0.39929999999999999</v>
      </c>
      <c r="K9" s="14">
        <v>135.19999999999999</v>
      </c>
      <c r="L9" s="14">
        <v>139.21</v>
      </c>
      <c r="M9" s="14">
        <f t="shared" si="0"/>
        <v>4.0100000000000193</v>
      </c>
      <c r="N9" s="11" t="s">
        <v>23</v>
      </c>
      <c r="O9" s="14">
        <v>100.19</v>
      </c>
      <c r="P9" s="14">
        <v>135.24</v>
      </c>
      <c r="Q9" s="14">
        <f>L9-P9</f>
        <v>3.9699999999999989</v>
      </c>
      <c r="R9" s="16">
        <f>Q9/M9</f>
        <v>0.99002493765585531</v>
      </c>
      <c r="S9" s="14">
        <f t="shared" si="2"/>
        <v>4.0000000000020464E-2</v>
      </c>
    </row>
    <row r="10" spans="1:19">
      <c r="A10" s="5"/>
      <c r="B10" s="11" t="s">
        <v>33</v>
      </c>
      <c r="C10" s="12">
        <v>42831</v>
      </c>
      <c r="D10" s="11">
        <v>40</v>
      </c>
      <c r="E10" s="11" t="s">
        <v>20</v>
      </c>
      <c r="F10" s="11" t="s">
        <v>27</v>
      </c>
      <c r="G10" s="11">
        <v>6</v>
      </c>
      <c r="H10" s="13" t="s">
        <v>22</v>
      </c>
      <c r="I10" s="14">
        <v>135.08000000000001</v>
      </c>
      <c r="J10" s="15" t="s">
        <v>27</v>
      </c>
      <c r="K10" s="14">
        <v>135.08000000000001</v>
      </c>
      <c r="L10" s="14">
        <v>139.08000000000001</v>
      </c>
      <c r="M10" s="14">
        <f t="shared" si="0"/>
        <v>4</v>
      </c>
      <c r="N10" s="11" t="s">
        <v>23</v>
      </c>
      <c r="O10" s="14">
        <v>100.19</v>
      </c>
      <c r="P10" s="14">
        <v>137.94</v>
      </c>
      <c r="Q10" s="14">
        <f t="shared" si="3"/>
        <v>1.1400000000000148</v>
      </c>
      <c r="R10" s="16">
        <f>Q10/M10</f>
        <v>0.28500000000000369</v>
      </c>
      <c r="S10" s="14">
        <f t="shared" si="2"/>
        <v>2.8599999999999852</v>
      </c>
    </row>
    <row r="11" spans="1:19">
      <c r="A11" s="5"/>
      <c r="B11" t="s">
        <v>34</v>
      </c>
      <c r="C11" s="6">
        <v>42831</v>
      </c>
      <c r="D11">
        <v>40</v>
      </c>
      <c r="E11" t="s">
        <v>20</v>
      </c>
      <c r="F11" t="s">
        <v>27</v>
      </c>
      <c r="G11">
        <v>6</v>
      </c>
      <c r="H11" s="7" t="s">
        <v>22</v>
      </c>
      <c r="I11" s="8">
        <v>137.01</v>
      </c>
      <c r="J11" s="9" t="s">
        <v>27</v>
      </c>
      <c r="K11" s="8">
        <v>137.01</v>
      </c>
      <c r="L11" s="8">
        <v>141.01</v>
      </c>
      <c r="M11" s="8">
        <f t="shared" si="0"/>
        <v>4</v>
      </c>
      <c r="N11" t="s">
        <v>23</v>
      </c>
      <c r="O11" s="8">
        <v>100.19</v>
      </c>
      <c r="P11" s="8">
        <v>141.01</v>
      </c>
      <c r="Q11" s="8">
        <f t="shared" si="3"/>
        <v>0</v>
      </c>
      <c r="R11" s="10">
        <f t="shared" si="1"/>
        <v>0</v>
      </c>
      <c r="S11" s="8">
        <f t="shared" si="2"/>
        <v>4</v>
      </c>
    </row>
    <row r="12" spans="1:19">
      <c r="A12" s="17" t="s">
        <v>35</v>
      </c>
      <c r="B12" t="s">
        <v>36</v>
      </c>
      <c r="C12" s="6">
        <v>42894</v>
      </c>
      <c r="D12">
        <v>40</v>
      </c>
      <c r="E12" t="s">
        <v>37</v>
      </c>
      <c r="F12" t="s">
        <v>21</v>
      </c>
      <c r="G12">
        <v>7</v>
      </c>
      <c r="H12" s="8">
        <v>100.55</v>
      </c>
      <c r="I12" s="8">
        <f>134.94*(100/H12)</f>
        <v>134.20188960716061</v>
      </c>
      <c r="J12" s="9">
        <v>0.39800000000000002</v>
      </c>
      <c r="K12" s="8">
        <f>135.34*(100/$H12)</f>
        <v>134.59970164097464</v>
      </c>
      <c r="L12" s="8">
        <f>139.35*(100/$H12)</f>
        <v>138.58776727996022</v>
      </c>
      <c r="M12" s="8">
        <f t="shared" si="0"/>
        <v>3.9880656389855744</v>
      </c>
      <c r="N12" t="s">
        <v>23</v>
      </c>
      <c r="O12" s="8">
        <v>100.19</v>
      </c>
      <c r="P12" s="8">
        <f>138.87*(100/O12)</f>
        <v>138.60664736999701</v>
      </c>
      <c r="Q12" s="8">
        <f t="shared" si="3"/>
        <v>-1.8880090036788033E-2</v>
      </c>
      <c r="R12" s="10">
        <f t="shared" si="1"/>
        <v>-4.7341472648355087E-3</v>
      </c>
      <c r="S12" s="8">
        <f t="shared" si="2"/>
        <v>4.0069457290223625</v>
      </c>
    </row>
    <row r="13" spans="1:19">
      <c r="A13" s="17"/>
      <c r="B13" t="s">
        <v>38</v>
      </c>
      <c r="C13" s="6">
        <v>42894</v>
      </c>
      <c r="D13">
        <v>40</v>
      </c>
      <c r="E13" t="s">
        <v>37</v>
      </c>
      <c r="F13" t="s">
        <v>21</v>
      </c>
      <c r="G13">
        <v>7</v>
      </c>
      <c r="H13" s="8">
        <v>100.55</v>
      </c>
      <c r="I13" s="8">
        <f>138.08*(100/H13)</f>
        <v>137.3247140726007</v>
      </c>
      <c r="J13" s="9">
        <v>0.39900000000000002</v>
      </c>
      <c r="K13" s="8">
        <f>138.48*(100/$H13)</f>
        <v>137.7225261064147</v>
      </c>
      <c r="L13" s="8">
        <f>142.49*(100/$H13)</f>
        <v>141.71059174540031</v>
      </c>
      <c r="M13" s="8">
        <f>L13-K13</f>
        <v>3.9880656389856028</v>
      </c>
      <c r="N13" t="s">
        <v>23</v>
      </c>
      <c r="O13" s="8">
        <v>100.19</v>
      </c>
      <c r="P13" s="8">
        <f>141.98*(100/O12)</f>
        <v>141.71074957580595</v>
      </c>
      <c r="Q13" s="8">
        <f t="shared" si="3"/>
        <v>-1.5783040564087969E-4</v>
      </c>
      <c r="R13" s="10">
        <f t="shared" si="1"/>
        <v>-3.9575679020424835E-5</v>
      </c>
      <c r="S13" s="8">
        <f t="shared" si="2"/>
        <v>3.9882234693912437</v>
      </c>
    </row>
    <row r="14" spans="1:19">
      <c r="A14" s="17"/>
      <c r="B14" t="s">
        <v>39</v>
      </c>
      <c r="C14" s="6">
        <v>42894</v>
      </c>
      <c r="D14">
        <v>40</v>
      </c>
      <c r="E14" t="s">
        <v>37</v>
      </c>
      <c r="F14" t="s">
        <v>21</v>
      </c>
      <c r="G14">
        <v>7</v>
      </c>
      <c r="H14" s="8">
        <v>100.55</v>
      </c>
      <c r="I14" s="8">
        <f>137.68*(100/H14)</f>
        <v>136.92690203878669</v>
      </c>
      <c r="J14" s="9">
        <v>0.39939999999999998</v>
      </c>
      <c r="K14" s="8">
        <f>138.08*(100/$H14)</f>
        <v>137.3247140726007</v>
      </c>
      <c r="L14" s="8">
        <f>142.08*(100/$H14)</f>
        <v>141.30283441074093</v>
      </c>
      <c r="M14" s="8">
        <f t="shared" si="0"/>
        <v>3.9781203381402293</v>
      </c>
      <c r="N14" t="s">
        <v>23</v>
      </c>
      <c r="O14" s="8">
        <v>100.19</v>
      </c>
      <c r="P14" s="8">
        <f>141.56*(100/O12)</f>
        <v>141.29154606248127</v>
      </c>
      <c r="Q14" s="8">
        <f t="shared" si="3"/>
        <v>1.1288348259654413E-2</v>
      </c>
      <c r="R14" s="10">
        <f t="shared" si="1"/>
        <v>2.8376085437706276E-3</v>
      </c>
      <c r="S14" s="8">
        <f t="shared" si="2"/>
        <v>3.9668319898805748</v>
      </c>
    </row>
    <row r="15" spans="1:19">
      <c r="A15" s="17"/>
      <c r="B15" t="s">
        <v>40</v>
      </c>
      <c r="C15" s="6">
        <v>42894</v>
      </c>
      <c r="D15">
        <v>40</v>
      </c>
      <c r="E15" t="s">
        <v>37</v>
      </c>
      <c r="F15" t="s">
        <v>27</v>
      </c>
      <c r="G15">
        <v>7</v>
      </c>
      <c r="H15" s="8">
        <v>100.55</v>
      </c>
      <c r="I15" s="8">
        <f>137.85*(100/H15)</f>
        <v>137.09597215315762</v>
      </c>
      <c r="J15" s="9" t="s">
        <v>27</v>
      </c>
      <c r="K15" s="8">
        <f>137.85*(100/$H15)</f>
        <v>137.09597215315762</v>
      </c>
      <c r="L15" s="8">
        <f>141.86*(100/$H15)</f>
        <v>141.08403779214322</v>
      </c>
      <c r="M15" s="8">
        <f t="shared" si="0"/>
        <v>3.9880656389856028</v>
      </c>
      <c r="N15" t="s">
        <v>23</v>
      </c>
      <c r="O15" s="8">
        <v>100.19</v>
      </c>
      <c r="P15" s="8">
        <f>141.35*(100/O12)</f>
        <v>141.08194430581892</v>
      </c>
      <c r="Q15" s="8">
        <f>L15-P15</f>
        <v>2.0934863242985102E-3</v>
      </c>
      <c r="R15" s="10">
        <f>Q15/M15</f>
        <v>5.2493778031973554E-4</v>
      </c>
      <c r="S15" s="8">
        <f t="shared" si="2"/>
        <v>3.9859721526613043</v>
      </c>
    </row>
    <row r="16" spans="1:19">
      <c r="A16" s="17"/>
      <c r="B16" t="s">
        <v>41</v>
      </c>
      <c r="C16" s="6">
        <v>42894</v>
      </c>
      <c r="D16">
        <v>40</v>
      </c>
      <c r="E16" t="s">
        <v>37</v>
      </c>
      <c r="F16" t="s">
        <v>27</v>
      </c>
      <c r="G16">
        <v>7</v>
      </c>
      <c r="H16" s="8">
        <v>100.55</v>
      </c>
      <c r="I16" s="8">
        <f>135.06*(100/H16)</f>
        <v>134.32123321730484</v>
      </c>
      <c r="J16" s="9" t="s">
        <v>27</v>
      </c>
      <c r="K16" s="8">
        <f>135.06*(100/$H16)</f>
        <v>134.32123321730484</v>
      </c>
      <c r="L16" s="8">
        <f>139.09*(100/$H16)</f>
        <v>138.3291894579811</v>
      </c>
      <c r="M16" s="8">
        <f t="shared" si="0"/>
        <v>4.0079562406762648</v>
      </c>
      <c r="N16" t="s">
        <v>23</v>
      </c>
      <c r="O16" s="8">
        <v>100.19</v>
      </c>
      <c r="P16" s="8">
        <f>138.59*(100/O12)</f>
        <v>138.32717836111388</v>
      </c>
      <c r="Q16" s="8">
        <f t="shared" si="3"/>
        <v>2.0110968672213403E-3</v>
      </c>
      <c r="R16" s="10">
        <f t="shared" si="1"/>
        <v>5.0177615384393683E-4</v>
      </c>
      <c r="S16" s="8">
        <f t="shared" si="2"/>
        <v>4.0059451438090434</v>
      </c>
    </row>
    <row r="17" spans="1:19">
      <c r="A17" s="17"/>
      <c r="B17" t="s">
        <v>42</v>
      </c>
      <c r="C17" s="6">
        <v>42894</v>
      </c>
      <c r="D17">
        <v>40</v>
      </c>
      <c r="E17" t="s">
        <v>37</v>
      </c>
      <c r="F17" t="s">
        <v>30</v>
      </c>
      <c r="G17">
        <v>7</v>
      </c>
      <c r="H17" s="8">
        <v>100.55</v>
      </c>
      <c r="I17" s="8">
        <f>136.53*(100/H17)</f>
        <v>135.78319244157137</v>
      </c>
      <c r="J17" s="9">
        <v>0.39989999999999998</v>
      </c>
      <c r="K17" s="8">
        <f>136.92*(100/$H17)</f>
        <v>136.17105917454003</v>
      </c>
      <c r="L17" s="8">
        <f>140.93*(100/$H17)</f>
        <v>140.15912481352561</v>
      </c>
      <c r="M17" s="8">
        <f t="shared" si="0"/>
        <v>3.9880656389855744</v>
      </c>
      <c r="N17" t="s">
        <v>23</v>
      </c>
      <c r="O17" s="8">
        <v>100.19</v>
      </c>
      <c r="P17" s="8">
        <f>140.43*(100/O12)</f>
        <v>140.16368899091725</v>
      </c>
      <c r="Q17" s="8">
        <f t="shared" si="3"/>
        <v>-4.5641773916429429E-3</v>
      </c>
      <c r="R17" s="10">
        <f t="shared" si="1"/>
        <v>-1.1444589444630884E-3</v>
      </c>
      <c r="S17" s="8">
        <f t="shared" si="2"/>
        <v>3.9926298163772174</v>
      </c>
    </row>
    <row r="18" spans="1:19">
      <c r="A18" s="17"/>
      <c r="B18" t="s">
        <v>43</v>
      </c>
      <c r="C18" s="6">
        <v>42894</v>
      </c>
      <c r="D18">
        <v>40</v>
      </c>
      <c r="E18" t="s">
        <v>37</v>
      </c>
      <c r="F18" t="s">
        <v>30</v>
      </c>
      <c r="G18">
        <v>7</v>
      </c>
      <c r="H18" s="8">
        <v>100.55</v>
      </c>
      <c r="I18" s="8">
        <f>137.74*(100/H18)</f>
        <v>136.98657384385879</v>
      </c>
      <c r="J18" s="9">
        <v>0.39910000000000001</v>
      </c>
      <c r="K18" s="8">
        <f>138.14*(100/$H18)</f>
        <v>137.3843858776728</v>
      </c>
      <c r="L18" s="8">
        <f>142.13*(100/$H18)</f>
        <v>141.35256091496768</v>
      </c>
      <c r="M18" s="8">
        <f t="shared" si="0"/>
        <v>3.9681750372948841</v>
      </c>
      <c r="N18" t="s">
        <v>23</v>
      </c>
      <c r="O18" s="8">
        <v>100.19</v>
      </c>
      <c r="P18" s="8">
        <f>141.62*(100/O12)</f>
        <v>141.35143227867053</v>
      </c>
      <c r="Q18" s="8">
        <f t="shared" si="3"/>
        <v>1.1286362971532071E-3</v>
      </c>
      <c r="R18" s="10">
        <f t="shared" si="1"/>
        <v>2.8442200420740552E-4</v>
      </c>
      <c r="S18" s="8">
        <f t="shared" si="2"/>
        <v>3.9670464009977309</v>
      </c>
    </row>
    <row r="19" spans="1:19">
      <c r="A19" s="17"/>
      <c r="B19" t="s">
        <v>44</v>
      </c>
      <c r="C19" s="6">
        <v>42894</v>
      </c>
      <c r="D19">
        <v>40</v>
      </c>
      <c r="E19" t="s">
        <v>37</v>
      </c>
      <c r="F19" t="s">
        <v>30</v>
      </c>
      <c r="G19">
        <v>7</v>
      </c>
      <c r="H19" s="8">
        <v>100.55</v>
      </c>
      <c r="I19" s="8">
        <f>134.57*(100/H19)</f>
        <v>133.83391347588264</v>
      </c>
      <c r="J19" s="9">
        <v>0.39960000000000001</v>
      </c>
      <c r="K19" s="8">
        <f>134.97*(100/$H19)</f>
        <v>134.23172550969667</v>
      </c>
      <c r="L19" s="8">
        <f>138.99*(100/$H19)</f>
        <v>138.22973644952762</v>
      </c>
      <c r="M19" s="8">
        <f t="shared" si="0"/>
        <v>3.998010939830948</v>
      </c>
      <c r="N19" t="s">
        <v>23</v>
      </c>
      <c r="O19" s="8">
        <v>100.19</v>
      </c>
      <c r="P19" s="8">
        <f>138.5*(100/O12)</f>
        <v>138.23734903683001</v>
      </c>
      <c r="Q19" s="8">
        <f t="shared" si="3"/>
        <v>-7.6125873023897839E-3</v>
      </c>
      <c r="R19" s="10">
        <f t="shared" si="1"/>
        <v>-1.9040936648141524E-3</v>
      </c>
      <c r="S19" s="8">
        <f t="shared" si="2"/>
        <v>4.0056235271333378</v>
      </c>
    </row>
    <row r="20" spans="1:19">
      <c r="A20" s="17"/>
      <c r="B20" t="s">
        <v>45</v>
      </c>
      <c r="C20" s="6">
        <v>42894</v>
      </c>
      <c r="D20">
        <v>40</v>
      </c>
      <c r="E20" t="s">
        <v>37</v>
      </c>
      <c r="F20" t="s">
        <v>27</v>
      </c>
      <c r="G20">
        <v>6</v>
      </c>
      <c r="H20" s="8">
        <v>100.55</v>
      </c>
      <c r="I20" s="8">
        <f>142.75*(100/H20)</f>
        <v>141.96916956737942</v>
      </c>
      <c r="J20" s="9" t="s">
        <v>27</v>
      </c>
      <c r="K20" s="8">
        <f>142.75*(100/$H20)</f>
        <v>141.96916956737942</v>
      </c>
      <c r="L20" s="8">
        <f>146.76*(100/$H20)</f>
        <v>145.957235206365</v>
      </c>
      <c r="M20" s="8">
        <f t="shared" si="0"/>
        <v>3.9880656389855744</v>
      </c>
      <c r="N20" t="s">
        <v>23</v>
      </c>
      <c r="O20" s="8">
        <v>100.19</v>
      </c>
      <c r="P20" s="8">
        <f>146.24*(100/O12)</f>
        <v>145.96267092524204</v>
      </c>
      <c r="Q20" s="8">
        <f t="shared" si="3"/>
        <v>-5.4357188770381981E-3</v>
      </c>
      <c r="R20" s="10">
        <f t="shared" si="1"/>
        <v>-1.3629963418608268E-3</v>
      </c>
      <c r="S20" s="8">
        <f t="shared" si="2"/>
        <v>3.9935013578626126</v>
      </c>
    </row>
    <row r="21" spans="1:19">
      <c r="A21" s="17"/>
      <c r="B21" t="s">
        <v>46</v>
      </c>
      <c r="C21" s="6">
        <v>42894</v>
      </c>
      <c r="D21">
        <v>40</v>
      </c>
      <c r="E21" t="s">
        <v>37</v>
      </c>
      <c r="F21" t="s">
        <v>27</v>
      </c>
      <c r="G21">
        <v>6</v>
      </c>
      <c r="H21" s="8">
        <v>100.55</v>
      </c>
      <c r="I21" s="8">
        <f>137.18*(100/H21)</f>
        <v>136.42963699651915</v>
      </c>
      <c r="J21" s="9" t="s">
        <v>27</v>
      </c>
      <c r="K21" s="8">
        <f>137.18*(100/$H21)</f>
        <v>136.42963699651915</v>
      </c>
      <c r="L21" s="8">
        <f>141.17*(100/$H21)</f>
        <v>140.39781203381401</v>
      </c>
      <c r="M21" s="8">
        <f t="shared" si="0"/>
        <v>3.9681750372948557</v>
      </c>
      <c r="N21" t="s">
        <v>23</v>
      </c>
      <c r="O21" s="8">
        <v>100.19</v>
      </c>
      <c r="P21" s="8">
        <f>140.67*(100/O12)</f>
        <v>140.40323385567422</v>
      </c>
      <c r="Q21" s="8">
        <f t="shared" si="3"/>
        <v>-5.4218218602102297E-3</v>
      </c>
      <c r="R21" s="10">
        <f t="shared" si="1"/>
        <v>-1.3663262858249164E-3</v>
      </c>
      <c r="S21" s="8">
        <f t="shared" si="2"/>
        <v>3.9735968591550659</v>
      </c>
    </row>
    <row r="22" spans="1:19">
      <c r="A22" s="17" t="s">
        <v>47</v>
      </c>
      <c r="B22" t="s">
        <v>48</v>
      </c>
      <c r="C22" s="6">
        <v>42907</v>
      </c>
      <c r="D22">
        <v>40</v>
      </c>
      <c r="E22" t="s">
        <v>37</v>
      </c>
      <c r="F22" t="s">
        <v>21</v>
      </c>
      <c r="G22">
        <v>8</v>
      </c>
      <c r="H22" s="8">
        <v>100.19</v>
      </c>
      <c r="I22" s="8">
        <f>136.04*(100/H22)</f>
        <v>135.78201417307116</v>
      </c>
      <c r="J22" s="9">
        <v>0.39989999999999998</v>
      </c>
      <c r="K22" s="8">
        <f>136.44*(100/H22)</f>
        <v>136.18125561433277</v>
      </c>
      <c r="L22" s="8">
        <f>140.46*(100/H22)</f>
        <v>140.19363209901189</v>
      </c>
      <c r="M22" s="8">
        <f t="shared" si="0"/>
        <v>4.0123764846791232</v>
      </c>
      <c r="N22" t="s">
        <v>23</v>
      </c>
      <c r="O22" s="8">
        <v>100.19</v>
      </c>
      <c r="P22" s="8">
        <f>140.45*(100/O12)</f>
        <v>140.18365106298032</v>
      </c>
      <c r="Q22" s="8">
        <f t="shared" si="3"/>
        <v>9.9810360315757407E-3</v>
      </c>
      <c r="R22" s="10">
        <f t="shared" si="1"/>
        <v>2.4875621890636072E-3</v>
      </c>
      <c r="S22" s="8">
        <f t="shared" si="2"/>
        <v>4.0023954486475475</v>
      </c>
    </row>
    <row r="23" spans="1:19">
      <c r="A23" s="17"/>
      <c r="B23" t="s">
        <v>49</v>
      </c>
      <c r="C23" s="6">
        <v>42907</v>
      </c>
      <c r="D23">
        <v>40</v>
      </c>
      <c r="E23" t="s">
        <v>37</v>
      </c>
      <c r="F23" t="s">
        <v>21</v>
      </c>
      <c r="G23">
        <v>8</v>
      </c>
      <c r="H23" s="8">
        <v>100.19</v>
      </c>
      <c r="I23" s="8">
        <f>132.9*(100/H22)</f>
        <v>132.64796885916758</v>
      </c>
      <c r="J23" s="9">
        <v>0.39929999999999999</v>
      </c>
      <c r="K23" s="8">
        <f>133.3*(100/H22)</f>
        <v>133.04721030042919</v>
      </c>
      <c r="L23" s="8">
        <f>137.3*(100/H22)</f>
        <v>137.03962471304521</v>
      </c>
      <c r="M23" s="8">
        <f t="shared" si="0"/>
        <v>3.9924144126160286</v>
      </c>
      <c r="N23" t="s">
        <v>23</v>
      </c>
      <c r="O23" s="8">
        <v>100.19</v>
      </c>
      <c r="P23" s="8">
        <f>137.28*(100/O12)</f>
        <v>137.01966264098212</v>
      </c>
      <c r="Q23" s="8">
        <f t="shared" si="3"/>
        <v>1.9962072063094638E-2</v>
      </c>
      <c r="R23" s="10">
        <f t="shared" si="1"/>
        <v>5.0000000000036309E-3</v>
      </c>
      <c r="S23" s="8">
        <f t="shared" si="2"/>
        <v>3.9724523405529339</v>
      </c>
    </row>
    <row r="24" spans="1:19">
      <c r="A24" s="17"/>
      <c r="B24" t="s">
        <v>50</v>
      </c>
      <c r="C24" s="6">
        <v>42907</v>
      </c>
      <c r="D24">
        <v>40</v>
      </c>
      <c r="E24" t="s">
        <v>37</v>
      </c>
      <c r="F24" t="s">
        <v>21</v>
      </c>
      <c r="G24">
        <v>8</v>
      </c>
      <c r="H24" s="8">
        <v>100.19</v>
      </c>
      <c r="I24" s="8">
        <f>135.6*(100/H22)</f>
        <v>135.34284858768339</v>
      </c>
      <c r="J24" s="9">
        <v>0.39879999999999999</v>
      </c>
      <c r="K24" s="8">
        <f>136*(100/H22)</f>
        <v>135.742090028945</v>
      </c>
      <c r="L24" s="8">
        <f>140.01*(100/H22)</f>
        <v>139.74448547759258</v>
      </c>
      <c r="M24" s="8">
        <f t="shared" si="0"/>
        <v>4.0023954486475759</v>
      </c>
      <c r="N24" t="s">
        <v>23</v>
      </c>
      <c r="O24" s="8">
        <v>100.19</v>
      </c>
      <c r="P24" s="8">
        <f>139.99*(100/O12)</f>
        <v>139.72452340552951</v>
      </c>
      <c r="Q24" s="8">
        <f t="shared" si="3"/>
        <v>1.9962072063066216E-2</v>
      </c>
      <c r="R24" s="10">
        <f t="shared" si="1"/>
        <v>4.9875311720663368E-3</v>
      </c>
      <c r="S24" s="8">
        <f t="shared" si="2"/>
        <v>3.9824333765845097</v>
      </c>
    </row>
    <row r="25" spans="1:19">
      <c r="A25" s="17"/>
      <c r="B25" t="s">
        <v>51</v>
      </c>
      <c r="C25" s="6">
        <v>42907</v>
      </c>
      <c r="D25">
        <v>40</v>
      </c>
      <c r="E25" t="s">
        <v>37</v>
      </c>
      <c r="F25" t="s">
        <v>27</v>
      </c>
      <c r="G25">
        <v>8</v>
      </c>
      <c r="H25" s="8">
        <v>100.19</v>
      </c>
      <c r="I25" s="8">
        <f>135.73*(100/H22)</f>
        <v>135.47260205609342</v>
      </c>
      <c r="J25" s="9" t="s">
        <v>27</v>
      </c>
      <c r="K25" s="8">
        <f>135.73*(100/H22)</f>
        <v>135.47260205609342</v>
      </c>
      <c r="L25" s="8">
        <f>139.74*(100/H22)</f>
        <v>139.474997504741</v>
      </c>
      <c r="M25" s="8">
        <f t="shared" si="0"/>
        <v>4.0023954486475759</v>
      </c>
      <c r="N25" t="s">
        <v>23</v>
      </c>
      <c r="O25" s="8">
        <v>100.19</v>
      </c>
      <c r="P25" s="8">
        <f>139.73*(100/O12)</f>
        <v>139.46501646870945</v>
      </c>
      <c r="Q25" s="8">
        <f t="shared" si="3"/>
        <v>9.981036031547319E-3</v>
      </c>
      <c r="R25" s="10">
        <f t="shared" si="1"/>
        <v>2.4937655860367189E-3</v>
      </c>
      <c r="S25" s="8">
        <f t="shared" si="2"/>
        <v>3.9924144126160286</v>
      </c>
    </row>
    <row r="26" spans="1:19">
      <c r="A26" s="17"/>
      <c r="B26" t="s">
        <v>52</v>
      </c>
      <c r="C26" s="6">
        <v>42907</v>
      </c>
      <c r="D26">
        <v>40</v>
      </c>
      <c r="E26" t="s">
        <v>37</v>
      </c>
      <c r="F26" t="s">
        <v>27</v>
      </c>
      <c r="G26">
        <v>8</v>
      </c>
      <c r="H26" s="8">
        <v>100.19</v>
      </c>
      <c r="I26" s="8">
        <f>135.24*(100/H22)</f>
        <v>134.98353129054797</v>
      </c>
      <c r="J26" s="9" t="s">
        <v>27</v>
      </c>
      <c r="K26" s="8">
        <f>135.24*(100/H22)</f>
        <v>134.98353129054797</v>
      </c>
      <c r="L26" s="8">
        <f>139.26*(100/H22)</f>
        <v>138.99590777522707</v>
      </c>
      <c r="M26" s="8">
        <f t="shared" si="0"/>
        <v>4.0123764846790948</v>
      </c>
      <c r="N26" t="s">
        <v>23</v>
      </c>
      <c r="O26" s="8">
        <v>100.19</v>
      </c>
      <c r="P26" s="8">
        <f>139.25*(100/O12)</f>
        <v>138.98592673919552</v>
      </c>
      <c r="Q26" s="8">
        <f t="shared" si="3"/>
        <v>9.981036031547319E-3</v>
      </c>
      <c r="R26" s="10">
        <f t="shared" si="1"/>
        <v>2.4875621890565413E-3</v>
      </c>
      <c r="S26" s="8">
        <f t="shared" si="2"/>
        <v>4.0023954486475475</v>
      </c>
    </row>
    <row r="27" spans="1:19">
      <c r="A27" s="17"/>
      <c r="B27" t="s">
        <v>53</v>
      </c>
      <c r="C27" s="6">
        <v>42907</v>
      </c>
      <c r="D27">
        <v>40</v>
      </c>
      <c r="E27" t="s">
        <v>37</v>
      </c>
      <c r="F27" t="s">
        <v>30</v>
      </c>
      <c r="G27">
        <v>8</v>
      </c>
      <c r="H27" s="8">
        <v>100.19</v>
      </c>
      <c r="I27" s="8">
        <f>134.17*(100/H22)</f>
        <v>133.91556043517315</v>
      </c>
      <c r="J27" s="9">
        <v>0.39950000000000002</v>
      </c>
      <c r="K27" s="8">
        <f>134.57*(100/H22)</f>
        <v>134.31480187643476</v>
      </c>
      <c r="L27" s="8">
        <f>138.58*(100/H22)</f>
        <v>138.31719732508236</v>
      </c>
      <c r="M27" s="8">
        <f t="shared" si="0"/>
        <v>4.0023954486476043</v>
      </c>
      <c r="N27" t="s">
        <v>23</v>
      </c>
      <c r="O27" s="8">
        <v>100.19</v>
      </c>
      <c r="P27" s="8">
        <f>138.57*(100/O12)</f>
        <v>138.30721628905079</v>
      </c>
      <c r="Q27" s="8">
        <f t="shared" si="3"/>
        <v>9.9810360315757407E-3</v>
      </c>
      <c r="R27" s="10">
        <f t="shared" si="1"/>
        <v>2.4937655860438027E-3</v>
      </c>
      <c r="S27" s="8">
        <f t="shared" si="2"/>
        <v>3.9924144126160286</v>
      </c>
    </row>
    <row r="28" spans="1:19">
      <c r="A28" s="17"/>
      <c r="B28" t="s">
        <v>54</v>
      </c>
      <c r="C28" s="6">
        <v>42907</v>
      </c>
      <c r="D28">
        <v>40</v>
      </c>
      <c r="E28" t="s">
        <v>37</v>
      </c>
      <c r="F28" t="s">
        <v>30</v>
      </c>
      <c r="G28">
        <v>8</v>
      </c>
      <c r="H28" s="8">
        <v>100.19</v>
      </c>
      <c r="I28" s="8">
        <f>133.47*(100/H22)</f>
        <v>133.21688791296538</v>
      </c>
      <c r="J28" s="9">
        <v>0.39929999999999999</v>
      </c>
      <c r="K28" s="8">
        <f>133.87*(100/H22)</f>
        <v>133.61612935422698</v>
      </c>
      <c r="L28" s="8">
        <f>137.88*(100/H22)</f>
        <v>137.61852480287453</v>
      </c>
      <c r="M28" s="8">
        <f t="shared" si="0"/>
        <v>4.0023954486475475</v>
      </c>
      <c r="N28" t="s">
        <v>23</v>
      </c>
      <c r="O28" s="8">
        <v>100.19</v>
      </c>
      <c r="P28" s="8">
        <f>137.86*(100/O12)</f>
        <v>137.59856273081147</v>
      </c>
      <c r="Q28" s="8">
        <f t="shared" si="3"/>
        <v>1.9962072063066216E-2</v>
      </c>
      <c r="R28" s="10">
        <f t="shared" si="1"/>
        <v>4.9875311720663723E-3</v>
      </c>
      <c r="S28" s="8">
        <f t="shared" si="2"/>
        <v>3.9824333765844813</v>
      </c>
    </row>
    <row r="29" spans="1:19">
      <c r="A29" s="17"/>
      <c r="B29" t="s">
        <v>55</v>
      </c>
      <c r="C29" s="6">
        <v>42907</v>
      </c>
      <c r="D29">
        <v>40</v>
      </c>
      <c r="E29" t="s">
        <v>37</v>
      </c>
      <c r="F29" t="s">
        <v>30</v>
      </c>
      <c r="G29">
        <v>8</v>
      </c>
      <c r="H29" s="8">
        <v>100.19</v>
      </c>
      <c r="I29" s="8">
        <f>142.78*(100/H22)</f>
        <v>142.50923245832917</v>
      </c>
      <c r="J29" s="9">
        <v>0.39979999999999999</v>
      </c>
      <c r="K29" s="8">
        <f>143.18*(100/H22)</f>
        <v>142.90847389959077</v>
      </c>
      <c r="L29" s="8">
        <f>147.18*(100/H22)</f>
        <v>146.9008883122068</v>
      </c>
      <c r="M29" s="8">
        <f t="shared" si="0"/>
        <v>3.9924144126160286</v>
      </c>
      <c r="N29" t="s">
        <v>23</v>
      </c>
      <c r="O29" s="8">
        <v>100.19</v>
      </c>
      <c r="P29" s="8">
        <f>147.17*(100/O12)</f>
        <v>146.89090727617526</v>
      </c>
      <c r="Q29" s="8">
        <f t="shared" si="3"/>
        <v>9.981036031547319E-3</v>
      </c>
      <c r="R29" s="10">
        <f t="shared" si="1"/>
        <v>2.5000000000018154E-3</v>
      </c>
      <c r="S29" s="8">
        <f t="shared" si="2"/>
        <v>3.9824333765844813</v>
      </c>
    </row>
    <row r="30" spans="1:19">
      <c r="A30" s="17"/>
      <c r="B30" t="s">
        <v>56</v>
      </c>
      <c r="C30" s="6">
        <v>42907</v>
      </c>
      <c r="D30">
        <v>40</v>
      </c>
      <c r="E30" t="s">
        <v>37</v>
      </c>
      <c r="F30" t="s">
        <v>27</v>
      </c>
      <c r="G30">
        <v>8</v>
      </c>
      <c r="H30" s="8">
        <v>100.19</v>
      </c>
      <c r="I30" s="8">
        <f>136.61*(100/H22)</f>
        <v>136.35093322686896</v>
      </c>
      <c r="J30" s="9" t="s">
        <v>27</v>
      </c>
      <c r="K30" s="8">
        <f>136.6*(100/H22)</f>
        <v>136.34095219083741</v>
      </c>
      <c r="L30" s="8">
        <f>140.62*(100/H22)</f>
        <v>140.35332867551651</v>
      </c>
      <c r="M30" s="8">
        <f t="shared" si="0"/>
        <v>4.0123764846790948</v>
      </c>
      <c r="N30" t="s">
        <v>23</v>
      </c>
      <c r="O30" s="8">
        <v>100.19</v>
      </c>
      <c r="P30" s="8">
        <f>140.61*(100/O12)</f>
        <v>140.34334763948499</v>
      </c>
      <c r="Q30" s="8">
        <f t="shared" si="3"/>
        <v>9.9810360315188973E-3</v>
      </c>
      <c r="R30" s="10">
        <f t="shared" si="1"/>
        <v>2.487562189049458E-3</v>
      </c>
      <c r="S30" s="8">
        <f t="shared" si="2"/>
        <v>4.0023954486475759</v>
      </c>
    </row>
    <row r="31" spans="1:19">
      <c r="A31" s="17"/>
      <c r="B31" t="s">
        <v>57</v>
      </c>
      <c r="C31" s="6">
        <v>42907</v>
      </c>
      <c r="D31">
        <v>40</v>
      </c>
      <c r="E31" t="s">
        <v>37</v>
      </c>
      <c r="F31" t="s">
        <v>27</v>
      </c>
      <c r="G31">
        <v>8</v>
      </c>
      <c r="H31" s="8">
        <v>100.19</v>
      </c>
      <c r="I31" s="8">
        <f>134.63*(100/H22)</f>
        <v>134.37468809262401</v>
      </c>
      <c r="J31" s="9" t="s">
        <v>27</v>
      </c>
      <c r="K31" s="8">
        <f>134.63*(100/H22)</f>
        <v>134.37468809262401</v>
      </c>
      <c r="L31" s="8">
        <f>138.65*(100/H22)</f>
        <v>138.38706457730314</v>
      </c>
      <c r="M31" s="8">
        <f t="shared" si="0"/>
        <v>4.0123764846791232</v>
      </c>
      <c r="N31" t="s">
        <v>23</v>
      </c>
      <c r="O31" s="8">
        <v>100.19</v>
      </c>
      <c r="P31" s="8">
        <f>138.64*(100/O12)</f>
        <v>138.37708354127156</v>
      </c>
      <c r="Q31" s="8">
        <f t="shared" si="3"/>
        <v>9.9810360315757407E-3</v>
      </c>
      <c r="R31" s="10">
        <f t="shared" si="1"/>
        <v>2.4875621890636072E-3</v>
      </c>
      <c r="S31" s="8">
        <f t="shared" si="2"/>
        <v>4.0023954486475475</v>
      </c>
    </row>
    <row r="32" spans="1:19">
      <c r="A32" s="17" t="s">
        <v>58</v>
      </c>
      <c r="B32" t="s">
        <v>59</v>
      </c>
      <c r="C32" s="6">
        <v>42922</v>
      </c>
      <c r="D32">
        <v>40</v>
      </c>
      <c r="E32" t="s">
        <v>37</v>
      </c>
      <c r="F32" t="s">
        <v>21</v>
      </c>
      <c r="G32">
        <v>7</v>
      </c>
      <c r="H32" s="8">
        <v>100.2</v>
      </c>
      <c r="I32" s="8">
        <f>136.77*(100/H32)</f>
        <v>136.49700598802394</v>
      </c>
      <c r="J32" s="9">
        <v>0.39939999999999998</v>
      </c>
      <c r="K32" s="8">
        <f>137.17*(100/H32)</f>
        <v>136.89620758483031</v>
      </c>
      <c r="L32" s="8">
        <f>141.19*(100/H32)</f>
        <v>140.90818363273453</v>
      </c>
      <c r="M32" s="8">
        <f>L32-K32</f>
        <v>4.011976047904227</v>
      </c>
      <c r="N32" t="s">
        <v>23</v>
      </c>
      <c r="O32" s="8">
        <v>100.2</v>
      </c>
      <c r="P32" s="8">
        <f>141.16*(100/O32)</f>
        <v>140.87824351297405</v>
      </c>
      <c r="Q32" s="8">
        <f t="shared" si="3"/>
        <v>2.9940119760482276E-2</v>
      </c>
      <c r="R32" s="10">
        <f t="shared" si="1"/>
        <v>7.4626865671649188E-3</v>
      </c>
      <c r="S32" s="8">
        <f t="shared" si="2"/>
        <v>3.9820359281437447</v>
      </c>
    </row>
    <row r="33" spans="1:19">
      <c r="A33" s="17"/>
      <c r="B33" t="s">
        <v>60</v>
      </c>
      <c r="C33" s="6">
        <v>42922</v>
      </c>
      <c r="D33">
        <v>40</v>
      </c>
      <c r="E33" t="s">
        <v>37</v>
      </c>
      <c r="F33" t="s">
        <v>21</v>
      </c>
      <c r="G33">
        <v>7</v>
      </c>
      <c r="H33" s="8">
        <v>100.2</v>
      </c>
      <c r="I33" s="8">
        <f>137.54*(100/H32)</f>
        <v>137.26546906187625</v>
      </c>
      <c r="J33" s="9">
        <v>0.39950000000000002</v>
      </c>
      <c r="K33" s="8">
        <f>137.94*(100/H32)</f>
        <v>137.66467065868264</v>
      </c>
      <c r="L33" s="8">
        <f>141.95*(100/H32)</f>
        <v>141.66666666666666</v>
      </c>
      <c r="M33" s="8">
        <f t="shared" si="0"/>
        <v>4.0019960079840189</v>
      </c>
      <c r="N33" t="s">
        <v>23</v>
      </c>
      <c r="O33" s="8">
        <v>100.2</v>
      </c>
      <c r="P33" s="8">
        <f>141.94*(100/O32)</f>
        <v>141.65668662674651</v>
      </c>
      <c r="Q33" s="8">
        <f t="shared" si="3"/>
        <v>9.9800399201512846E-3</v>
      </c>
      <c r="R33" s="10">
        <f t="shared" si="1"/>
        <v>2.4937655860328227E-3</v>
      </c>
      <c r="S33" s="8">
        <f t="shared" si="2"/>
        <v>3.9920159680638676</v>
      </c>
    </row>
    <row r="34" spans="1:19">
      <c r="A34" s="17"/>
      <c r="B34" t="s">
        <v>61</v>
      </c>
      <c r="C34" s="6">
        <v>42922</v>
      </c>
      <c r="D34">
        <v>40</v>
      </c>
      <c r="E34" t="s">
        <v>37</v>
      </c>
      <c r="F34" t="s">
        <v>21</v>
      </c>
      <c r="G34">
        <v>7</v>
      </c>
      <c r="H34" s="8">
        <v>100.2</v>
      </c>
      <c r="I34" s="8">
        <f>136.31*(100/H32)</f>
        <v>136.03792415169661</v>
      </c>
      <c r="J34" s="9">
        <v>0.39979999999999999</v>
      </c>
      <c r="K34" s="8">
        <f>136.71*(100/H32)</f>
        <v>136.43712574850301</v>
      </c>
      <c r="L34" s="8">
        <f>140.73*(100/H32)</f>
        <v>140.44910179640718</v>
      </c>
      <c r="M34" s="8">
        <f t="shared" si="0"/>
        <v>4.0119760479041702</v>
      </c>
      <c r="N34" t="s">
        <v>23</v>
      </c>
      <c r="O34" s="8">
        <v>100.2</v>
      </c>
      <c r="P34" s="8">
        <f>140.72*(100/O32)</f>
        <v>140.43912175648703</v>
      </c>
      <c r="Q34" s="8">
        <f t="shared" si="3"/>
        <v>9.9800399201512846E-3</v>
      </c>
      <c r="R34" s="10">
        <f t="shared" si="1"/>
        <v>2.4875621890526468E-3</v>
      </c>
      <c r="S34" s="8">
        <f t="shared" si="2"/>
        <v>4.0019960079840189</v>
      </c>
    </row>
    <row r="35" spans="1:19">
      <c r="A35" s="17"/>
      <c r="B35" t="s">
        <v>62</v>
      </c>
      <c r="C35" s="6">
        <v>42922</v>
      </c>
      <c r="D35">
        <v>40</v>
      </c>
      <c r="E35" t="s">
        <v>37</v>
      </c>
      <c r="F35" t="s">
        <v>27</v>
      </c>
      <c r="G35">
        <v>7</v>
      </c>
      <c r="H35" s="8">
        <v>100.2</v>
      </c>
      <c r="I35" s="8">
        <f>137.36*(100/H32)</f>
        <v>137.08582834331338</v>
      </c>
      <c r="J35" s="9" t="s">
        <v>27</v>
      </c>
      <c r="K35" s="8">
        <f>137.36*(100/H32)</f>
        <v>137.08582834331338</v>
      </c>
      <c r="L35" s="8">
        <f>141.38*(100/H32)</f>
        <v>141.09780439121755</v>
      </c>
      <c r="M35" s="8">
        <f t="shared" si="0"/>
        <v>4.0119760479041702</v>
      </c>
      <c r="N35" t="s">
        <v>23</v>
      </c>
      <c r="O35" s="8">
        <v>100.2</v>
      </c>
      <c r="P35" s="8">
        <f>141.35*(100/O32)</f>
        <v>141.06786427145707</v>
      </c>
      <c r="Q35" s="8">
        <f t="shared" si="3"/>
        <v>2.9940119760482276E-2</v>
      </c>
      <c r="R35" s="10">
        <f t="shared" si="1"/>
        <v>7.4626865671650246E-3</v>
      </c>
      <c r="S35" s="8">
        <f t="shared" si="2"/>
        <v>3.9820359281436879</v>
      </c>
    </row>
    <row r="36" spans="1:19">
      <c r="A36" s="17"/>
      <c r="B36" t="s">
        <v>63</v>
      </c>
      <c r="C36" s="6">
        <v>42922</v>
      </c>
      <c r="D36">
        <v>40</v>
      </c>
      <c r="E36" t="s">
        <v>37</v>
      </c>
      <c r="F36" t="s">
        <v>27</v>
      </c>
      <c r="G36">
        <v>7</v>
      </c>
      <c r="H36" s="8">
        <v>100.2</v>
      </c>
      <c r="I36" s="8">
        <f>135.91*(100/H32)</f>
        <v>135.63872255489022</v>
      </c>
      <c r="J36" s="9" t="s">
        <v>27</v>
      </c>
      <c r="K36" s="8">
        <f>135.91*(100/H32)</f>
        <v>135.63872255489022</v>
      </c>
      <c r="L36" s="8">
        <f>139.92*(100/H32)</f>
        <v>139.64071856287424</v>
      </c>
      <c r="M36" s="8">
        <f t="shared" si="0"/>
        <v>4.0019960079840189</v>
      </c>
      <c r="N36" t="s">
        <v>23</v>
      </c>
      <c r="O36" s="8">
        <v>100.2</v>
      </c>
      <c r="P36" s="8">
        <f>139.9*(100/O32)</f>
        <v>139.62075848303394</v>
      </c>
      <c r="Q36" s="8">
        <f t="shared" si="3"/>
        <v>1.9960079840302569E-2</v>
      </c>
      <c r="R36" s="10">
        <f t="shared" si="1"/>
        <v>4.9875311720656455E-3</v>
      </c>
      <c r="S36" s="8">
        <f t="shared" si="2"/>
        <v>3.9820359281437163</v>
      </c>
    </row>
    <row r="37" spans="1:19">
      <c r="A37" s="17"/>
      <c r="B37" t="s">
        <v>64</v>
      </c>
      <c r="C37" s="6">
        <v>42922</v>
      </c>
      <c r="D37">
        <v>40</v>
      </c>
      <c r="E37" t="s">
        <v>37</v>
      </c>
      <c r="F37" t="s">
        <v>30</v>
      </c>
      <c r="G37">
        <v>8</v>
      </c>
      <c r="H37" s="8">
        <v>100.2</v>
      </c>
      <c r="I37" s="8">
        <f>136.71*(100/H32)</f>
        <v>136.43712574850301</v>
      </c>
      <c r="J37" s="9">
        <v>0.39989999999999998</v>
      </c>
      <c r="K37" s="8">
        <f>137.1*(100/H32)</f>
        <v>136.82634730538922</v>
      </c>
      <c r="L37" s="8">
        <f>141.1*(100/H32)</f>
        <v>140.81836327345309</v>
      </c>
      <c r="M37" s="8">
        <f t="shared" si="0"/>
        <v>3.9920159680638676</v>
      </c>
      <c r="N37" t="s">
        <v>23</v>
      </c>
      <c r="O37" s="8">
        <v>100.2</v>
      </c>
      <c r="P37" s="8">
        <f>141.08*(100/O32)</f>
        <v>140.79840319361278</v>
      </c>
      <c r="Q37" s="8">
        <f t="shared" si="3"/>
        <v>1.9960079840302569E-2</v>
      </c>
      <c r="R37" s="10">
        <f t="shared" si="1"/>
        <v>4.9999999999957995E-3</v>
      </c>
      <c r="S37" s="8">
        <f t="shared" si="2"/>
        <v>3.972055888223565</v>
      </c>
    </row>
    <row r="38" spans="1:19">
      <c r="A38" s="17"/>
      <c r="B38" t="s">
        <v>65</v>
      </c>
      <c r="C38" s="6">
        <v>42922</v>
      </c>
      <c r="D38">
        <v>40</v>
      </c>
      <c r="E38" t="s">
        <v>37</v>
      </c>
      <c r="F38" t="s">
        <v>30</v>
      </c>
      <c r="G38">
        <v>8</v>
      </c>
      <c r="H38" s="8">
        <v>100.2</v>
      </c>
      <c r="I38" s="8">
        <f>134.82*(100/H32)</f>
        <v>134.55089820359279</v>
      </c>
      <c r="J38" s="9">
        <v>0.39979999999999999</v>
      </c>
      <c r="K38" s="8">
        <f>135.22*(100/H32)</f>
        <v>134.95009980039919</v>
      </c>
      <c r="L38" s="8">
        <f>139.23*(100/H32)</f>
        <v>138.95209580838321</v>
      </c>
      <c r="M38" s="8">
        <f t="shared" si="0"/>
        <v>4.0019960079840189</v>
      </c>
      <c r="N38" t="s">
        <v>23</v>
      </c>
      <c r="O38" s="8">
        <v>100.2</v>
      </c>
      <c r="P38" s="8">
        <f>139.23*(100/O32)</f>
        <v>138.95209580838321</v>
      </c>
      <c r="Q38" s="8">
        <f t="shared" si="3"/>
        <v>0</v>
      </c>
      <c r="R38" s="10">
        <f>Q38/M38</f>
        <v>0</v>
      </c>
      <c r="S38" s="8">
        <f t="shared" si="2"/>
        <v>4.0019960079840189</v>
      </c>
    </row>
    <row r="39" spans="1:19">
      <c r="A39" s="17"/>
      <c r="B39" t="s">
        <v>66</v>
      </c>
      <c r="C39" s="6">
        <v>42922</v>
      </c>
      <c r="D39">
        <v>40</v>
      </c>
      <c r="E39" t="s">
        <v>37</v>
      </c>
      <c r="F39" t="s">
        <v>30</v>
      </c>
      <c r="G39">
        <v>8</v>
      </c>
      <c r="H39" s="8">
        <v>100.2</v>
      </c>
      <c r="I39" s="8">
        <f>135.87*(100/H32)</f>
        <v>135.59880239520959</v>
      </c>
      <c r="J39" s="9">
        <v>0.3997</v>
      </c>
      <c r="K39" s="8">
        <f>136.27*(100/H32)</f>
        <v>135.99800399201598</v>
      </c>
      <c r="L39" s="8">
        <f>140.28*(100/H32)</f>
        <v>140</v>
      </c>
      <c r="M39" s="8">
        <f t="shared" si="0"/>
        <v>4.0019960079840189</v>
      </c>
      <c r="N39" t="s">
        <v>23</v>
      </c>
      <c r="O39" s="8">
        <v>100.2</v>
      </c>
      <c r="P39" s="8">
        <f>140.26*(100/O32)</f>
        <v>139.98003992015967</v>
      </c>
      <c r="Q39" s="8">
        <f t="shared" si="3"/>
        <v>1.9960079840330991E-2</v>
      </c>
      <c r="R39" s="10">
        <f t="shared" si="1"/>
        <v>4.9875311720727475E-3</v>
      </c>
      <c r="S39" s="8">
        <f t="shared" si="2"/>
        <v>3.9820359281436879</v>
      </c>
    </row>
    <row r="40" spans="1:19">
      <c r="A40" s="17"/>
      <c r="B40" t="s">
        <v>67</v>
      </c>
      <c r="C40" s="6">
        <v>42922</v>
      </c>
      <c r="D40">
        <v>40</v>
      </c>
      <c r="E40" t="s">
        <v>37</v>
      </c>
      <c r="F40" t="s">
        <v>27</v>
      </c>
      <c r="G40">
        <v>7</v>
      </c>
      <c r="H40" s="8">
        <v>100.2</v>
      </c>
      <c r="I40" s="8">
        <f>138.49*(100/H32)</f>
        <v>138.21357285429141</v>
      </c>
      <c r="J40" s="9" t="s">
        <v>27</v>
      </c>
      <c r="K40" s="8">
        <f>138.49*(100/H32)</f>
        <v>138.21357285429141</v>
      </c>
      <c r="L40" s="8">
        <f>142.51*(100/H32)</f>
        <v>142.22554890219558</v>
      </c>
      <c r="M40" s="8">
        <f t="shared" si="0"/>
        <v>4.0119760479041702</v>
      </c>
      <c r="N40" t="s">
        <v>23</v>
      </c>
      <c r="O40" s="8">
        <v>100.2</v>
      </c>
      <c r="P40" s="8">
        <f>142.5*(100/O32)</f>
        <v>142.21556886227543</v>
      </c>
      <c r="Q40" s="8">
        <f t="shared" si="3"/>
        <v>9.9800399201512846E-3</v>
      </c>
      <c r="R40" s="10">
        <f t="shared" si="1"/>
        <v>2.4875621890526468E-3</v>
      </c>
      <c r="S40" s="8">
        <f t="shared" si="2"/>
        <v>4.0019960079840189</v>
      </c>
    </row>
    <row r="41" spans="1:19">
      <c r="A41" s="17"/>
      <c r="B41" t="s">
        <v>68</v>
      </c>
      <c r="C41" s="6">
        <v>42922</v>
      </c>
      <c r="D41">
        <v>40</v>
      </c>
      <c r="E41" t="s">
        <v>37</v>
      </c>
      <c r="F41" t="s">
        <v>27</v>
      </c>
      <c r="G41">
        <v>8</v>
      </c>
      <c r="H41" s="8">
        <v>100.2</v>
      </c>
      <c r="I41" s="8">
        <f>136.82*(100/H32)</f>
        <v>136.54690618762473</v>
      </c>
      <c r="J41" s="9" t="s">
        <v>27</v>
      </c>
      <c r="K41" s="8">
        <f>136.82*(100/H32)</f>
        <v>136.54690618762473</v>
      </c>
      <c r="L41" s="8">
        <f>140.84*(100/H32)</f>
        <v>140.55888223552893</v>
      </c>
      <c r="M41" s="8">
        <f t="shared" si="0"/>
        <v>4.0119760479041986</v>
      </c>
      <c r="N41" t="s">
        <v>23</v>
      </c>
      <c r="O41" s="8">
        <v>100.2</v>
      </c>
      <c r="P41" s="8">
        <f>140.83*(100/O32)</f>
        <v>140.54890219560878</v>
      </c>
      <c r="Q41" s="8">
        <f>L41-P41</f>
        <v>9.9800399201512846E-3</v>
      </c>
      <c r="R41" s="10">
        <f t="shared" si="1"/>
        <v>2.4875621890526295E-3</v>
      </c>
      <c r="S41" s="8">
        <f t="shared" si="2"/>
        <v>4.0019960079840473</v>
      </c>
    </row>
    <row r="42" spans="1:19">
      <c r="A42" s="5" t="s">
        <v>18</v>
      </c>
      <c r="B42" t="s">
        <v>69</v>
      </c>
      <c r="C42" s="6">
        <v>42831</v>
      </c>
      <c r="D42">
        <v>90</v>
      </c>
      <c r="E42" t="s">
        <v>20</v>
      </c>
      <c r="F42" t="s">
        <v>70</v>
      </c>
      <c r="G42">
        <v>5</v>
      </c>
      <c r="H42" s="7" t="s">
        <v>22</v>
      </c>
      <c r="I42" s="8">
        <v>136.07</v>
      </c>
      <c r="J42" s="9">
        <v>0.3997</v>
      </c>
      <c r="K42" s="8">
        <v>136.47</v>
      </c>
      <c r="L42" s="8">
        <v>140.47999999999999</v>
      </c>
      <c r="M42" s="8">
        <f t="shared" si="0"/>
        <v>4.0099999999999909</v>
      </c>
      <c r="N42" t="s">
        <v>23</v>
      </c>
      <c r="O42" s="8">
        <v>100.19</v>
      </c>
      <c r="P42" s="8">
        <f>140.42</f>
        <v>140.41999999999999</v>
      </c>
      <c r="Q42" s="8">
        <f>L42-P42</f>
        <v>6.0000000000002274E-2</v>
      </c>
      <c r="R42" s="10">
        <f>Q42/M42</f>
        <v>1.4962593516210078E-2</v>
      </c>
      <c r="S42" s="8">
        <f t="shared" si="2"/>
        <v>3.9499999999999886</v>
      </c>
    </row>
    <row r="43" spans="1:19">
      <c r="A43" s="5"/>
      <c r="B43" t="s">
        <v>71</v>
      </c>
      <c r="C43" s="6">
        <v>42831</v>
      </c>
      <c r="D43">
        <v>90</v>
      </c>
      <c r="E43" t="s">
        <v>20</v>
      </c>
      <c r="F43" t="s">
        <v>70</v>
      </c>
      <c r="G43">
        <v>5</v>
      </c>
      <c r="H43" s="7" t="s">
        <v>22</v>
      </c>
      <c r="I43" s="8">
        <v>136.82</v>
      </c>
      <c r="J43" s="9">
        <v>0.39910000000000001</v>
      </c>
      <c r="K43" s="8">
        <v>137.22</v>
      </c>
      <c r="L43" s="8">
        <v>141.22999999999999</v>
      </c>
      <c r="M43" s="8">
        <f t="shared" si="0"/>
        <v>4.0099999999999909</v>
      </c>
      <c r="N43" t="s">
        <v>23</v>
      </c>
      <c r="O43" s="8">
        <v>100.19</v>
      </c>
      <c r="P43" s="8">
        <v>141.27000000000001</v>
      </c>
      <c r="Q43" s="8">
        <f t="shared" si="3"/>
        <v>-4.0000000000020464E-2</v>
      </c>
      <c r="R43" s="10">
        <f t="shared" si="1"/>
        <v>-9.9750623441447767E-3</v>
      </c>
      <c r="S43" s="8">
        <f t="shared" si="2"/>
        <v>4.0500000000000114</v>
      </c>
    </row>
    <row r="44" spans="1:19">
      <c r="A44" s="5"/>
      <c r="B44" s="11" t="s">
        <v>72</v>
      </c>
      <c r="C44" s="12">
        <v>42831</v>
      </c>
      <c r="D44" s="11">
        <v>90</v>
      </c>
      <c r="E44" s="11" t="s">
        <v>20</v>
      </c>
      <c r="F44" s="11" t="s">
        <v>70</v>
      </c>
      <c r="G44" s="11">
        <v>5</v>
      </c>
      <c r="H44" s="13" t="s">
        <v>22</v>
      </c>
      <c r="I44" s="14">
        <v>132.86000000000001</v>
      </c>
      <c r="J44" s="15">
        <v>0.3992</v>
      </c>
      <c r="K44" s="14">
        <v>133.26</v>
      </c>
      <c r="L44" s="14">
        <v>137.24</v>
      </c>
      <c r="M44" s="14">
        <f t="shared" si="0"/>
        <v>3.9800000000000182</v>
      </c>
      <c r="N44" s="11" t="s">
        <v>23</v>
      </c>
      <c r="O44" s="14">
        <v>100.19</v>
      </c>
      <c r="P44" s="14">
        <v>136.76</v>
      </c>
      <c r="Q44" s="14">
        <f t="shared" si="3"/>
        <v>0.48000000000001819</v>
      </c>
      <c r="R44" s="16">
        <f t="shared" si="1"/>
        <v>0.1206030150753809</v>
      </c>
      <c r="S44" s="14">
        <f t="shared" si="2"/>
        <v>3.5</v>
      </c>
    </row>
    <row r="45" spans="1:19">
      <c r="A45" s="5"/>
      <c r="B45" s="11" t="s">
        <v>73</v>
      </c>
      <c r="C45" s="12">
        <v>42831</v>
      </c>
      <c r="D45" s="11">
        <v>90</v>
      </c>
      <c r="E45" s="11" t="s">
        <v>20</v>
      </c>
      <c r="F45" s="11" t="s">
        <v>27</v>
      </c>
      <c r="G45" s="11">
        <v>5</v>
      </c>
      <c r="H45" s="13" t="s">
        <v>22</v>
      </c>
      <c r="I45" s="14">
        <v>134.86000000000001</v>
      </c>
      <c r="J45" s="15" t="s">
        <v>27</v>
      </c>
      <c r="K45" s="14">
        <v>134.86000000000001</v>
      </c>
      <c r="L45" s="14">
        <v>138.85</v>
      </c>
      <c r="M45" s="14">
        <f t="shared" si="0"/>
        <v>3.9899999999999807</v>
      </c>
      <c r="N45" s="11" t="s">
        <v>23</v>
      </c>
      <c r="O45" s="14">
        <v>100.19</v>
      </c>
      <c r="P45" s="14">
        <v>134.91</v>
      </c>
      <c r="Q45" s="14">
        <f t="shared" si="3"/>
        <v>3.9399999999999977</v>
      </c>
      <c r="R45" s="16">
        <f t="shared" si="1"/>
        <v>0.98746867167920216</v>
      </c>
      <c r="S45" s="14">
        <f t="shared" si="2"/>
        <v>4.9999999999982947E-2</v>
      </c>
    </row>
    <row r="46" spans="1:19">
      <c r="A46" s="5"/>
      <c r="B46" s="11" t="s">
        <v>74</v>
      </c>
      <c r="C46" s="12">
        <v>42831</v>
      </c>
      <c r="D46" s="11">
        <v>90</v>
      </c>
      <c r="E46" s="11" t="s">
        <v>20</v>
      </c>
      <c r="F46" s="11" t="s">
        <v>27</v>
      </c>
      <c r="G46" s="11">
        <v>5</v>
      </c>
      <c r="H46" s="13" t="s">
        <v>22</v>
      </c>
      <c r="I46" s="14">
        <v>134.21</v>
      </c>
      <c r="J46" s="15" t="s">
        <v>27</v>
      </c>
      <c r="K46" s="14">
        <v>134.21</v>
      </c>
      <c r="L46" s="14">
        <v>138.19</v>
      </c>
      <c r="M46" s="14">
        <f t="shared" si="0"/>
        <v>3.9799999999999898</v>
      </c>
      <c r="N46" s="11" t="s">
        <v>23</v>
      </c>
      <c r="O46" s="14">
        <v>100.19</v>
      </c>
      <c r="P46" s="14">
        <v>137.88999999999999</v>
      </c>
      <c r="Q46" s="14">
        <f t="shared" si="3"/>
        <v>0.30000000000001137</v>
      </c>
      <c r="R46" s="16">
        <f t="shared" si="1"/>
        <v>7.5376884422113599E-2</v>
      </c>
      <c r="S46" s="14">
        <f t="shared" si="2"/>
        <v>3.6799999999999784</v>
      </c>
    </row>
    <row r="47" spans="1:19">
      <c r="A47" s="5"/>
      <c r="B47" t="s">
        <v>75</v>
      </c>
      <c r="C47" s="6">
        <v>42831</v>
      </c>
      <c r="D47">
        <v>90</v>
      </c>
      <c r="E47" t="s">
        <v>20</v>
      </c>
      <c r="F47" t="s">
        <v>76</v>
      </c>
      <c r="G47">
        <v>5</v>
      </c>
      <c r="H47" s="7" t="s">
        <v>22</v>
      </c>
      <c r="I47" s="8">
        <v>135.33000000000001</v>
      </c>
      <c r="J47" s="9">
        <v>0.39850000000000002</v>
      </c>
      <c r="K47" s="8">
        <v>135.72999999999999</v>
      </c>
      <c r="L47" s="8">
        <v>139.72999999999999</v>
      </c>
      <c r="M47" s="8">
        <f t="shared" si="0"/>
        <v>4</v>
      </c>
      <c r="N47" t="s">
        <v>23</v>
      </c>
      <c r="O47" s="8">
        <v>100.19</v>
      </c>
      <c r="P47" s="8">
        <v>139.76</v>
      </c>
      <c r="Q47" s="8">
        <f t="shared" si="3"/>
        <v>-3.0000000000001137E-2</v>
      </c>
      <c r="R47" s="10">
        <f t="shared" si="1"/>
        <v>-7.5000000000002842E-3</v>
      </c>
      <c r="S47" s="8">
        <f t="shared" si="2"/>
        <v>4.0300000000000011</v>
      </c>
    </row>
    <row r="48" spans="1:19">
      <c r="A48" s="5"/>
      <c r="B48" s="11" t="s">
        <v>77</v>
      </c>
      <c r="C48" s="12">
        <v>42831</v>
      </c>
      <c r="D48" s="11">
        <v>90</v>
      </c>
      <c r="E48" s="11" t="s">
        <v>20</v>
      </c>
      <c r="F48" s="11" t="s">
        <v>76</v>
      </c>
      <c r="G48" s="11">
        <v>5</v>
      </c>
      <c r="H48" s="13" t="s">
        <v>22</v>
      </c>
      <c r="I48" s="14">
        <v>134.74</v>
      </c>
      <c r="J48" s="15">
        <v>0.39950000000000002</v>
      </c>
      <c r="K48" s="14">
        <v>135.13999999999999</v>
      </c>
      <c r="L48" s="14">
        <v>139.13</v>
      </c>
      <c r="M48" s="14">
        <f t="shared" si="0"/>
        <v>3.9900000000000091</v>
      </c>
      <c r="N48" s="11" t="s">
        <v>23</v>
      </c>
      <c r="O48" s="14">
        <v>100.19</v>
      </c>
      <c r="P48" s="14">
        <v>135.16999999999999</v>
      </c>
      <c r="Q48" s="14">
        <f t="shared" si="3"/>
        <v>3.960000000000008</v>
      </c>
      <c r="R48" s="16">
        <f t="shared" si="1"/>
        <v>0.99248120300751852</v>
      </c>
      <c r="S48" s="14">
        <f t="shared" si="2"/>
        <v>3.0000000000001137E-2</v>
      </c>
    </row>
    <row r="49" spans="1:19">
      <c r="A49" s="5"/>
      <c r="B49" t="s">
        <v>78</v>
      </c>
      <c r="C49" s="6">
        <v>42831</v>
      </c>
      <c r="D49">
        <v>90</v>
      </c>
      <c r="E49" t="s">
        <v>20</v>
      </c>
      <c r="F49" t="s">
        <v>76</v>
      </c>
      <c r="G49">
        <v>5</v>
      </c>
      <c r="H49" s="7" t="s">
        <v>22</v>
      </c>
      <c r="I49" s="8">
        <v>134.75</v>
      </c>
      <c r="J49" s="9">
        <v>0.39989999999999998</v>
      </c>
      <c r="K49" s="8">
        <v>135.15</v>
      </c>
      <c r="L49" s="8">
        <v>139.13999999999999</v>
      </c>
      <c r="M49" s="8">
        <f t="shared" si="0"/>
        <v>3.9899999999999807</v>
      </c>
      <c r="N49" t="s">
        <v>23</v>
      </c>
      <c r="O49" s="8">
        <v>100.19</v>
      </c>
      <c r="P49" s="8">
        <v>139.15</v>
      </c>
      <c r="Q49" s="8">
        <f t="shared" si="3"/>
        <v>-1.0000000000019327E-2</v>
      </c>
      <c r="R49" s="10">
        <f t="shared" si="1"/>
        <v>-2.5062656641652568E-3</v>
      </c>
      <c r="S49" s="8">
        <f t="shared" si="2"/>
        <v>4</v>
      </c>
    </row>
    <row r="50" spans="1:19">
      <c r="A50" s="5"/>
      <c r="B50" t="s">
        <v>79</v>
      </c>
      <c r="C50" s="6">
        <v>42831</v>
      </c>
      <c r="D50">
        <v>90</v>
      </c>
      <c r="E50" t="s">
        <v>20</v>
      </c>
      <c r="F50" t="s">
        <v>27</v>
      </c>
      <c r="G50">
        <v>5</v>
      </c>
      <c r="H50" s="7" t="s">
        <v>22</v>
      </c>
      <c r="I50" s="8">
        <v>135.58000000000001</v>
      </c>
      <c r="J50" s="9" t="s">
        <v>27</v>
      </c>
      <c r="K50" s="8">
        <v>135.58000000000001</v>
      </c>
      <c r="L50" s="8">
        <v>139.59</v>
      </c>
      <c r="M50" s="8">
        <f t="shared" si="0"/>
        <v>4.0099999999999909</v>
      </c>
      <c r="N50" t="s">
        <v>23</v>
      </c>
      <c r="O50" s="8">
        <v>100.19</v>
      </c>
      <c r="P50" s="8">
        <v>139.63</v>
      </c>
      <c r="Q50" s="8">
        <f t="shared" si="3"/>
        <v>-3.9999999999992042E-2</v>
      </c>
      <c r="R50" s="10">
        <f t="shared" si="1"/>
        <v>-9.9750623441376886E-3</v>
      </c>
      <c r="S50" s="8">
        <f t="shared" si="2"/>
        <v>4.0499999999999829</v>
      </c>
    </row>
    <row r="51" spans="1:19">
      <c r="A51" s="5"/>
      <c r="B51" s="11" t="s">
        <v>80</v>
      </c>
      <c r="C51" s="12">
        <v>42831</v>
      </c>
      <c r="D51" s="11">
        <v>90</v>
      </c>
      <c r="E51" s="11" t="s">
        <v>20</v>
      </c>
      <c r="F51" s="11" t="s">
        <v>27</v>
      </c>
      <c r="G51" s="11">
        <v>5</v>
      </c>
      <c r="H51" s="13" t="s">
        <v>22</v>
      </c>
      <c r="I51" s="14">
        <v>135.91</v>
      </c>
      <c r="J51" s="15" t="s">
        <v>27</v>
      </c>
      <c r="K51" s="14">
        <v>135.91</v>
      </c>
      <c r="L51" s="14">
        <v>139.88999999999999</v>
      </c>
      <c r="M51" s="14">
        <f t="shared" si="0"/>
        <v>3.9799999999999898</v>
      </c>
      <c r="N51" s="11" t="s">
        <v>81</v>
      </c>
      <c r="O51" s="14">
        <v>100.19</v>
      </c>
      <c r="P51" s="14">
        <v>135.96</v>
      </c>
      <c r="Q51" s="14">
        <f t="shared" si="3"/>
        <v>3.9299999999999784</v>
      </c>
      <c r="R51" s="16">
        <f t="shared" si="1"/>
        <v>0.98743718592964536</v>
      </c>
      <c r="S51" s="14">
        <f t="shared" si="2"/>
        <v>5.0000000000011369E-2</v>
      </c>
    </row>
    <row r="52" spans="1:19">
      <c r="A52" s="17" t="s">
        <v>35</v>
      </c>
      <c r="B52" t="s">
        <v>82</v>
      </c>
      <c r="C52" s="6">
        <v>42894</v>
      </c>
      <c r="D52">
        <v>90</v>
      </c>
      <c r="E52" t="s">
        <v>37</v>
      </c>
      <c r="F52" t="s">
        <v>70</v>
      </c>
      <c r="G52">
        <v>2</v>
      </c>
      <c r="H52" s="8">
        <v>100.55</v>
      </c>
      <c r="I52" s="8">
        <f>136.19*(100/H52)</f>
        <v>135.44505221282944</v>
      </c>
      <c r="J52" s="9">
        <v>0.3997</v>
      </c>
      <c r="K52" s="8">
        <f>136.59*(100/$H52)</f>
        <v>135.84286424664347</v>
      </c>
      <c r="L52" s="8">
        <f>140.6*(100/$H52)</f>
        <v>139.83092988562905</v>
      </c>
      <c r="M52" s="8">
        <f t="shared" si="0"/>
        <v>3.9880656389855744</v>
      </c>
      <c r="N52" t="s">
        <v>23</v>
      </c>
      <c r="O52" s="8">
        <v>100.19</v>
      </c>
      <c r="P52" s="8">
        <f>140.12*(100/O52)</f>
        <v>139.85427687393951</v>
      </c>
      <c r="Q52" s="8">
        <f t="shared" si="3"/>
        <v>-2.3346988310464667E-2</v>
      </c>
      <c r="R52" s="10">
        <f t="shared" si="1"/>
        <v>-5.8542136524120329E-3</v>
      </c>
      <c r="S52" s="8">
        <f t="shared" si="2"/>
        <v>4.0114126272960391</v>
      </c>
    </row>
    <row r="53" spans="1:19">
      <c r="A53" s="17"/>
      <c r="B53" t="s">
        <v>83</v>
      </c>
      <c r="C53" s="6">
        <v>42894</v>
      </c>
      <c r="D53">
        <v>90</v>
      </c>
      <c r="E53" t="s">
        <v>37</v>
      </c>
      <c r="F53" t="s">
        <v>70</v>
      </c>
      <c r="G53">
        <v>2</v>
      </c>
      <c r="H53" s="8">
        <v>100.55</v>
      </c>
      <c r="I53" s="8">
        <f>136.26*(100/H53)</f>
        <v>135.51466931874688</v>
      </c>
      <c r="J53" s="9">
        <v>0.39989999999999998</v>
      </c>
      <c r="K53" s="8">
        <f>136.66*(100/$H53)</f>
        <v>135.91248135256092</v>
      </c>
      <c r="L53" s="8">
        <f>140.67*(100/$H53)</f>
        <v>139.90054699154649</v>
      </c>
      <c r="M53" s="8">
        <f t="shared" si="0"/>
        <v>3.9880656389855744</v>
      </c>
      <c r="N53" t="s">
        <v>23</v>
      </c>
      <c r="O53" s="8">
        <v>100.19</v>
      </c>
      <c r="P53" s="8">
        <f>140.18*(100/O52)</f>
        <v>139.91416309012877</v>
      </c>
      <c r="Q53" s="8">
        <f t="shared" si="3"/>
        <v>-1.3616098582275526E-2</v>
      </c>
      <c r="R53" s="10">
        <f t="shared" si="1"/>
        <v>-3.414211252987047E-3</v>
      </c>
      <c r="S53" s="8">
        <f t="shared" si="2"/>
        <v>4.00168173756785</v>
      </c>
    </row>
    <row r="54" spans="1:19">
      <c r="A54" s="17"/>
      <c r="B54" t="s">
        <v>84</v>
      </c>
      <c r="C54" s="6">
        <v>42894</v>
      </c>
      <c r="D54">
        <v>90</v>
      </c>
      <c r="E54" t="s">
        <v>37</v>
      </c>
      <c r="F54" t="s">
        <v>70</v>
      </c>
      <c r="G54">
        <v>2</v>
      </c>
      <c r="H54" s="8">
        <v>100.55</v>
      </c>
      <c r="I54" s="8">
        <f>137.56*(100/H54)</f>
        <v>136.80755842864247</v>
      </c>
      <c r="J54" s="9">
        <v>0.39950000000000002</v>
      </c>
      <c r="K54" s="8">
        <f>137.96*(100/$H54)</f>
        <v>137.2053704624565</v>
      </c>
      <c r="L54" s="8">
        <f>141.98*(100/$H54)</f>
        <v>141.20338140228742</v>
      </c>
      <c r="M54" s="8">
        <f t="shared" si="0"/>
        <v>3.9980109398309196</v>
      </c>
      <c r="N54" t="s">
        <v>23</v>
      </c>
      <c r="O54" s="8">
        <v>100.19</v>
      </c>
      <c r="P54" s="8">
        <f>141.48*(100/O52)</f>
        <v>141.21169777422895</v>
      </c>
      <c r="Q54" s="8">
        <f t="shared" si="3"/>
        <v>-8.3163719415324522E-3</v>
      </c>
      <c r="R54" s="10">
        <f t="shared" si="1"/>
        <v>-2.0801273600027119E-3</v>
      </c>
      <c r="S54" s="8">
        <f t="shared" si="2"/>
        <v>4.006327311772452</v>
      </c>
    </row>
    <row r="55" spans="1:19">
      <c r="A55" s="17"/>
      <c r="B55" t="s">
        <v>85</v>
      </c>
      <c r="C55" s="6">
        <v>42894</v>
      </c>
      <c r="D55">
        <v>90</v>
      </c>
      <c r="E55" t="s">
        <v>37</v>
      </c>
      <c r="F55" t="s">
        <v>27</v>
      </c>
      <c r="G55">
        <v>2</v>
      </c>
      <c r="H55" s="8">
        <v>100.55</v>
      </c>
      <c r="I55" s="8">
        <f>137.03*(100/H55)</f>
        <v>136.28045748383889</v>
      </c>
      <c r="J55" s="9" t="s">
        <v>27</v>
      </c>
      <c r="K55" s="8">
        <f>137.03*(100/$H55)</f>
        <v>136.28045748383889</v>
      </c>
      <c r="L55" s="8">
        <f>141.04*(100/$H55)</f>
        <v>140.26852312282446</v>
      </c>
      <c r="M55" s="8">
        <f t="shared" si="0"/>
        <v>3.9880656389855744</v>
      </c>
      <c r="N55" t="s">
        <v>23</v>
      </c>
      <c r="O55" s="8">
        <v>100.19</v>
      </c>
      <c r="P55" s="8">
        <f>140.54*(100/O52)</f>
        <v>140.27348038726419</v>
      </c>
      <c r="Q55" s="8">
        <f t="shared" si="3"/>
        <v>-4.9572644397244403E-3</v>
      </c>
      <c r="R55" s="10">
        <f t="shared" si="1"/>
        <v>-1.2430247865693094E-3</v>
      </c>
      <c r="S55" s="8">
        <f t="shared" si="2"/>
        <v>3.9930229034252989</v>
      </c>
    </row>
    <row r="56" spans="1:19">
      <c r="A56" s="17"/>
      <c r="B56" t="s">
        <v>86</v>
      </c>
      <c r="C56" s="6">
        <v>42894</v>
      </c>
      <c r="D56">
        <v>90</v>
      </c>
      <c r="E56" t="s">
        <v>37</v>
      </c>
      <c r="F56" t="s">
        <v>27</v>
      </c>
      <c r="G56">
        <v>2</v>
      </c>
      <c r="H56" s="8">
        <v>100.55</v>
      </c>
      <c r="I56" s="8">
        <f>136.32*(100/H56)</f>
        <v>135.57434112381898</v>
      </c>
      <c r="J56" s="9" t="s">
        <v>27</v>
      </c>
      <c r="K56" s="8">
        <f>136.32*(100/$H56)</f>
        <v>135.57434112381898</v>
      </c>
      <c r="L56" s="8">
        <f>140.34*(100/$H56)</f>
        <v>139.57235206364993</v>
      </c>
      <c r="M56" s="8">
        <f t="shared" si="0"/>
        <v>3.998010939830948</v>
      </c>
      <c r="N56" t="s">
        <v>23</v>
      </c>
      <c r="O56" s="8">
        <v>100.19</v>
      </c>
      <c r="P56" s="8">
        <f>139.84*(100/O52)</f>
        <v>139.57480786505639</v>
      </c>
      <c r="Q56" s="8">
        <f t="shared" si="3"/>
        <v>-2.4558014064552935E-3</v>
      </c>
      <c r="R56" s="10">
        <f t="shared" si="1"/>
        <v>-6.1425579954994683E-4</v>
      </c>
      <c r="S56" s="8">
        <f t="shared" si="2"/>
        <v>4.0004667412374033</v>
      </c>
    </row>
    <row r="57" spans="1:19">
      <c r="A57" s="17"/>
      <c r="B57" t="s">
        <v>87</v>
      </c>
      <c r="C57" s="6">
        <v>42894</v>
      </c>
      <c r="D57">
        <v>90</v>
      </c>
      <c r="E57" t="s">
        <v>37</v>
      </c>
      <c r="F57" t="s">
        <v>76</v>
      </c>
      <c r="G57">
        <v>2</v>
      </c>
      <c r="H57" s="8">
        <v>100.55</v>
      </c>
      <c r="I57" s="8">
        <f>136.57*(100/H57)</f>
        <v>135.82297364495275</v>
      </c>
      <c r="J57" s="9">
        <v>0.39939999999999998</v>
      </c>
      <c r="K57" s="8">
        <f>136.97*(100/$H57)</f>
        <v>136.22078567876679</v>
      </c>
      <c r="L57" s="8">
        <f>140.99*(100/$H57)</f>
        <v>140.21879661859774</v>
      </c>
      <c r="M57" s="8">
        <f t="shared" si="0"/>
        <v>3.998010939830948</v>
      </c>
      <c r="N57" t="s">
        <v>23</v>
      </c>
      <c r="O57" s="8">
        <v>100.19</v>
      </c>
      <c r="P57" s="8">
        <f>140.49*(100/O52)</f>
        <v>140.22357520710651</v>
      </c>
      <c r="Q57" s="8">
        <f t="shared" si="3"/>
        <v>-4.7785885087705537E-3</v>
      </c>
      <c r="R57" s="10">
        <f>Q57/M57</f>
        <v>-1.1952414789972064E-3</v>
      </c>
      <c r="S57" s="8">
        <f t="shared" si="2"/>
        <v>4.0027895283397186</v>
      </c>
    </row>
    <row r="58" spans="1:19">
      <c r="A58" s="17"/>
      <c r="B58" t="s">
        <v>88</v>
      </c>
      <c r="C58" s="6">
        <v>42894</v>
      </c>
      <c r="D58">
        <v>90</v>
      </c>
      <c r="E58" t="s">
        <v>37</v>
      </c>
      <c r="F58" t="s">
        <v>76</v>
      </c>
      <c r="G58">
        <v>2</v>
      </c>
      <c r="H58" s="8">
        <v>100.55</v>
      </c>
      <c r="I58" s="8">
        <f>135.58*(100/H58)</f>
        <v>134.83838886126307</v>
      </c>
      <c r="J58" s="9">
        <v>0.39989999999999998</v>
      </c>
      <c r="K58" s="8">
        <f>135.98*(100/$H58)</f>
        <v>135.23620089507708</v>
      </c>
      <c r="L58" s="8">
        <f>139.99*(100/$H58)</f>
        <v>139.22426653406268</v>
      </c>
      <c r="M58" s="8">
        <f t="shared" si="0"/>
        <v>3.9880656389856028</v>
      </c>
      <c r="N58" t="s">
        <v>23</v>
      </c>
      <c r="O58" s="8">
        <v>100.19</v>
      </c>
      <c r="P58" s="8">
        <f>139.5*(100/O52)</f>
        <v>139.23545263998403</v>
      </c>
      <c r="Q58" s="8">
        <f t="shared" si="3"/>
        <v>-1.1186105921353828E-2</v>
      </c>
      <c r="R58" s="10">
        <f t="shared" si="1"/>
        <v>-2.8048951381349648E-3</v>
      </c>
      <c r="S58" s="8">
        <f t="shared" si="2"/>
        <v>3.9992517449069567</v>
      </c>
    </row>
    <row r="59" spans="1:19">
      <c r="A59" s="17"/>
      <c r="B59" t="s">
        <v>89</v>
      </c>
      <c r="C59" s="6">
        <v>42894</v>
      </c>
      <c r="D59">
        <v>90</v>
      </c>
      <c r="E59" t="s">
        <v>37</v>
      </c>
      <c r="F59" t="s">
        <v>76</v>
      </c>
      <c r="G59">
        <v>2</v>
      </c>
      <c r="H59" s="8">
        <v>100.55</v>
      </c>
      <c r="I59" s="8">
        <f>136.09*(100/H59)</f>
        <v>135.34559920437593</v>
      </c>
      <c r="J59" s="9">
        <v>0.39989999999999998</v>
      </c>
      <c r="K59" s="8">
        <f>136.49*(100/$H59)</f>
        <v>135.74341123818996</v>
      </c>
      <c r="L59" s="8">
        <f>140.51*(100/$H59)</f>
        <v>139.74142217802088</v>
      </c>
      <c r="M59" s="8">
        <f t="shared" si="0"/>
        <v>3.9980109398309196</v>
      </c>
      <c r="N59" t="s">
        <v>23</v>
      </c>
      <c r="O59" s="8">
        <v>100.19</v>
      </c>
      <c r="P59" s="8">
        <f>140.01*(100/O52)</f>
        <v>139.74448547759258</v>
      </c>
      <c r="Q59" s="8">
        <f t="shared" si="3"/>
        <v>-3.0632995716928235E-3</v>
      </c>
      <c r="R59" s="10">
        <f t="shared" si="1"/>
        <v>-7.6620590033262242E-4</v>
      </c>
      <c r="S59" s="8">
        <f t="shared" si="2"/>
        <v>4.0010742394026124</v>
      </c>
    </row>
    <row r="60" spans="1:19">
      <c r="A60" s="17"/>
      <c r="B60" s="11" t="s">
        <v>90</v>
      </c>
      <c r="C60" s="12">
        <v>42894</v>
      </c>
      <c r="D60" s="11">
        <v>90</v>
      </c>
      <c r="E60" s="11" t="s">
        <v>37</v>
      </c>
      <c r="F60" s="11" t="s">
        <v>27</v>
      </c>
      <c r="G60" s="11">
        <v>5</v>
      </c>
      <c r="H60" s="14">
        <v>100.55</v>
      </c>
      <c r="I60" s="14">
        <f>136.38*(100/H60)</f>
        <v>135.63401292889111</v>
      </c>
      <c r="J60" s="15" t="s">
        <v>27</v>
      </c>
      <c r="K60" s="14">
        <f>136.38*(100/$H60)</f>
        <v>135.63401292889111</v>
      </c>
      <c r="L60" s="14">
        <f>140.4*(100/$H60)</f>
        <v>139.63202386872203</v>
      </c>
      <c r="M60" s="14">
        <f t="shared" si="0"/>
        <v>3.9980109398309196</v>
      </c>
      <c r="N60" s="11" t="s">
        <v>23</v>
      </c>
      <c r="O60" s="14">
        <v>100.19</v>
      </c>
      <c r="P60" s="14">
        <f>139.6*(100/O52)</f>
        <v>139.33526300029942</v>
      </c>
      <c r="Q60" s="14">
        <f>L60-P60</f>
        <v>0.29676086842260929</v>
      </c>
      <c r="R60" s="16">
        <f>Q60/M60</f>
        <v>7.4227127661426473E-2</v>
      </c>
      <c r="S60" s="14">
        <f t="shared" si="2"/>
        <v>3.7012500714083103</v>
      </c>
    </row>
    <row r="61" spans="1:19">
      <c r="A61" s="17"/>
      <c r="B61" t="s">
        <v>91</v>
      </c>
      <c r="C61" s="6">
        <v>42894</v>
      </c>
      <c r="D61">
        <v>90</v>
      </c>
      <c r="E61" t="s">
        <v>37</v>
      </c>
      <c r="F61" t="s">
        <v>27</v>
      </c>
      <c r="G61">
        <v>5</v>
      </c>
      <c r="H61" s="8">
        <v>100.55</v>
      </c>
      <c r="I61" s="8">
        <f>137.41*(100/H61)</f>
        <v>136.6583789159622</v>
      </c>
      <c r="J61" s="9" t="s">
        <v>27</v>
      </c>
      <c r="K61" s="8">
        <f>137.41*(100/$H61)</f>
        <v>136.6583789159622</v>
      </c>
      <c r="L61" s="8">
        <f>141.44*(100/$H61)</f>
        <v>140.6663351566385</v>
      </c>
      <c r="M61" s="8">
        <f t="shared" si="0"/>
        <v>4.0079562406762932</v>
      </c>
      <c r="N61" t="s">
        <v>23</v>
      </c>
      <c r="O61" s="8">
        <v>100.19</v>
      </c>
      <c r="P61" s="8">
        <f>140.94*(100/O52)</f>
        <v>140.67272182852579</v>
      </c>
      <c r="Q61" s="8">
        <f t="shared" si="3"/>
        <v>-6.3866718872986894E-3</v>
      </c>
      <c r="R61" s="10">
        <f t="shared" si="1"/>
        <v>-1.5934984076126084E-3</v>
      </c>
      <c r="S61" s="8">
        <f t="shared" si="2"/>
        <v>4.0143429125635919</v>
      </c>
    </row>
    <row r="62" spans="1:19">
      <c r="A62" s="17" t="s">
        <v>47</v>
      </c>
      <c r="B62" t="s">
        <v>92</v>
      </c>
      <c r="C62" s="6">
        <v>42907</v>
      </c>
      <c r="D62">
        <v>90</v>
      </c>
      <c r="E62" t="s">
        <v>37</v>
      </c>
      <c r="F62" t="s">
        <v>70</v>
      </c>
      <c r="G62">
        <v>9</v>
      </c>
      <c r="H62" s="8">
        <v>100.19</v>
      </c>
      <c r="I62" s="8">
        <f>135.31*(100/H62)</f>
        <v>135.05339854276875</v>
      </c>
      <c r="J62" s="9">
        <v>0.39960000000000001</v>
      </c>
      <c r="K62" s="8">
        <f>135.71*(100/H62)</f>
        <v>135.45263998403036</v>
      </c>
      <c r="L62" s="8">
        <f>139.73*(100/H62)</f>
        <v>139.46501646870945</v>
      </c>
      <c r="M62" s="8">
        <f t="shared" si="0"/>
        <v>4.0123764846790948</v>
      </c>
      <c r="N62" t="s">
        <v>23</v>
      </c>
      <c r="O62" s="8">
        <v>100.19</v>
      </c>
      <c r="P62" s="8">
        <f>139.72*(100/O52)</f>
        <v>139.4550354326779</v>
      </c>
      <c r="Q62" s="8">
        <f>L62-P62</f>
        <v>9.981036031547319E-3</v>
      </c>
      <c r="R62" s="10">
        <f>Q62/M62</f>
        <v>2.4875621890565413E-3</v>
      </c>
      <c r="S62" s="8">
        <f t="shared" si="2"/>
        <v>4.0023954486475475</v>
      </c>
    </row>
    <row r="63" spans="1:19">
      <c r="A63" s="17"/>
      <c r="B63" t="s">
        <v>93</v>
      </c>
      <c r="C63" s="6">
        <v>42907</v>
      </c>
      <c r="D63">
        <v>90</v>
      </c>
      <c r="E63" t="s">
        <v>37</v>
      </c>
      <c r="F63" t="s">
        <v>70</v>
      </c>
      <c r="G63">
        <v>9</v>
      </c>
      <c r="H63" s="8">
        <v>100.19</v>
      </c>
      <c r="I63" s="8">
        <f>134.56*(100/H62)</f>
        <v>134.30482084040324</v>
      </c>
      <c r="J63" s="9">
        <v>0.39910000000000001</v>
      </c>
      <c r="K63" s="8">
        <f>134.96*(100/H62)</f>
        <v>134.70406228166485</v>
      </c>
      <c r="L63" s="8">
        <f>138.98*(100/H62)</f>
        <v>138.71643876634394</v>
      </c>
      <c r="M63" s="8">
        <f t="shared" si="0"/>
        <v>4.0123764846790948</v>
      </c>
      <c r="N63" t="s">
        <v>23</v>
      </c>
      <c r="O63" s="8">
        <v>100.19</v>
      </c>
      <c r="P63" s="8">
        <f>138.96*(100/O52)</f>
        <v>138.69647669428088</v>
      </c>
      <c r="Q63" s="8">
        <f t="shared" si="3"/>
        <v>1.9962072063066216E-2</v>
      </c>
      <c r="R63" s="10">
        <f t="shared" si="1"/>
        <v>4.9751243781059988E-3</v>
      </c>
      <c r="S63" s="8">
        <f t="shared" si="2"/>
        <v>3.9924144126160286</v>
      </c>
    </row>
    <row r="64" spans="1:19">
      <c r="A64" s="17"/>
      <c r="B64" t="s">
        <v>94</v>
      </c>
      <c r="C64" s="6">
        <v>42907</v>
      </c>
      <c r="D64">
        <v>90</v>
      </c>
      <c r="E64" t="s">
        <v>37</v>
      </c>
      <c r="F64" t="s">
        <v>70</v>
      </c>
      <c r="G64">
        <v>9</v>
      </c>
      <c r="H64" s="8">
        <v>100.19</v>
      </c>
      <c r="I64" s="8">
        <f>134.66*(100/H62)</f>
        <v>134.40463120071863</v>
      </c>
      <c r="J64" s="9">
        <v>0.39950000000000002</v>
      </c>
      <c r="K64" s="8">
        <f>135.06*(100/H62)</f>
        <v>134.80387264198023</v>
      </c>
      <c r="L64" s="8">
        <f>139.07*(100/H62)</f>
        <v>138.80626809062781</v>
      </c>
      <c r="M64" s="8">
        <f t="shared" si="0"/>
        <v>4.0023954486475759</v>
      </c>
      <c r="N64" t="s">
        <v>23</v>
      </c>
      <c r="O64" s="8">
        <v>100.19</v>
      </c>
      <c r="P64" s="8">
        <f>139.07*(100/O52)</f>
        <v>138.80626809062781</v>
      </c>
      <c r="Q64" s="8">
        <f t="shared" si="3"/>
        <v>0</v>
      </c>
      <c r="R64" s="10">
        <f t="shared" si="1"/>
        <v>0</v>
      </c>
      <c r="S64" s="8">
        <f t="shared" si="2"/>
        <v>4.0023954486475759</v>
      </c>
    </row>
    <row r="65" spans="1:19">
      <c r="A65" s="17"/>
      <c r="B65" s="11" t="s">
        <v>95</v>
      </c>
      <c r="C65" s="12">
        <v>42907</v>
      </c>
      <c r="D65" s="11">
        <v>90</v>
      </c>
      <c r="E65" s="11" t="s">
        <v>37</v>
      </c>
      <c r="F65" s="11" t="s">
        <v>27</v>
      </c>
      <c r="G65" s="11">
        <v>9</v>
      </c>
      <c r="H65" s="14">
        <v>100.19</v>
      </c>
      <c r="I65" s="14">
        <f>136.09*(100/H62)</f>
        <v>135.83191935322887</v>
      </c>
      <c r="J65" s="15" t="s">
        <v>27</v>
      </c>
      <c r="K65" s="14">
        <f>136.1*(100/H62)</f>
        <v>135.84190038926039</v>
      </c>
      <c r="L65" s="14">
        <f>140.11*(100/H62)</f>
        <v>139.84429583790799</v>
      </c>
      <c r="M65" s="14">
        <f t="shared" si="0"/>
        <v>4.0023954486476043</v>
      </c>
      <c r="N65" s="11" t="s">
        <v>23</v>
      </c>
      <c r="O65" s="14">
        <v>100.19</v>
      </c>
      <c r="P65" s="13" t="s">
        <v>22</v>
      </c>
      <c r="Q65" s="13" t="s">
        <v>22</v>
      </c>
      <c r="R65" s="13" t="s">
        <v>22</v>
      </c>
      <c r="S65" s="13" t="s">
        <v>22</v>
      </c>
    </row>
    <row r="66" spans="1:19">
      <c r="A66" s="17"/>
      <c r="B66" t="s">
        <v>96</v>
      </c>
      <c r="C66" s="6">
        <v>42907</v>
      </c>
      <c r="D66">
        <v>90</v>
      </c>
      <c r="E66" t="s">
        <v>37</v>
      </c>
      <c r="F66" t="s">
        <v>27</v>
      </c>
      <c r="G66">
        <v>9</v>
      </c>
      <c r="H66" s="8">
        <v>100.19</v>
      </c>
      <c r="I66" s="8">
        <f>134.37*(100/H62)</f>
        <v>134.11518115580398</v>
      </c>
      <c r="J66" s="9" t="s">
        <v>27</v>
      </c>
      <c r="K66" s="8">
        <f>134.37*(100/H62)</f>
        <v>134.11518115580398</v>
      </c>
      <c r="L66" s="8">
        <f>138.38*(100/H62)</f>
        <v>138.11757660445153</v>
      </c>
      <c r="M66" s="8">
        <f t="shared" si="0"/>
        <v>4.0023954486475475</v>
      </c>
      <c r="N66" t="s">
        <v>23</v>
      </c>
      <c r="O66" s="8">
        <v>100.19</v>
      </c>
      <c r="P66" s="8">
        <f>138.37*(100/O52)</f>
        <v>138.10759556842001</v>
      </c>
      <c r="Q66" s="8">
        <f t="shared" si="3"/>
        <v>9.9810360315188973E-3</v>
      </c>
      <c r="R66" s="10">
        <f t="shared" si="1"/>
        <v>2.4937655860296356E-3</v>
      </c>
      <c r="S66" s="8">
        <f t="shared" si="2"/>
        <v>3.9924144126160286</v>
      </c>
    </row>
    <row r="67" spans="1:19">
      <c r="A67" s="17"/>
      <c r="B67" t="s">
        <v>97</v>
      </c>
      <c r="C67" s="6">
        <v>42907</v>
      </c>
      <c r="D67">
        <v>90</v>
      </c>
      <c r="E67" t="s">
        <v>37</v>
      </c>
      <c r="F67" t="s">
        <v>76</v>
      </c>
      <c r="G67">
        <v>9</v>
      </c>
      <c r="H67" s="8">
        <v>100.19</v>
      </c>
      <c r="I67" s="8">
        <v>134.36000000000001</v>
      </c>
      <c r="J67" s="9">
        <v>0.39989999999999998</v>
      </c>
      <c r="K67" s="8">
        <f>134.76*(100/H62)</f>
        <v>134.50444156103401</v>
      </c>
      <c r="L67" s="8">
        <f>138.77*(100/H62)</f>
        <v>138.50683700968162</v>
      </c>
      <c r="M67" s="8">
        <f t="shared" ref="M67:M80" si="4">L67-K67</f>
        <v>4.0023954486476043</v>
      </c>
      <c r="N67" t="s">
        <v>23</v>
      </c>
      <c r="O67" s="8">
        <v>100.19</v>
      </c>
      <c r="P67" s="8">
        <f>138.75*(100/O52)</f>
        <v>138.48687493761852</v>
      </c>
      <c r="Q67" s="8">
        <f t="shared" si="3"/>
        <v>1.9962072063094638E-2</v>
      </c>
      <c r="R67" s="10">
        <f t="shared" ref="R67:R81" si="5">Q67/M67</f>
        <v>4.9875311720734023E-3</v>
      </c>
      <c r="S67" s="8">
        <f t="shared" ref="S67:S81" si="6">M67-Q67</f>
        <v>3.9824333765845097</v>
      </c>
    </row>
    <row r="68" spans="1:19">
      <c r="A68" s="17"/>
      <c r="B68" t="s">
        <v>98</v>
      </c>
      <c r="C68" s="6">
        <v>42907</v>
      </c>
      <c r="D68">
        <v>90</v>
      </c>
      <c r="E68" t="s">
        <v>37</v>
      </c>
      <c r="F68" t="s">
        <v>76</v>
      </c>
      <c r="G68">
        <v>9</v>
      </c>
      <c r="H68" s="8">
        <v>100.19</v>
      </c>
      <c r="I68" s="8">
        <v>136.68</v>
      </c>
      <c r="J68" s="9">
        <v>0.39929999999999999</v>
      </c>
      <c r="K68" s="8">
        <f>137.08*(100/H62)</f>
        <v>136.82004192035134</v>
      </c>
      <c r="L68" s="8">
        <f>141.09*(100/H62)</f>
        <v>140.82243736899889</v>
      </c>
      <c r="M68" s="8">
        <f t="shared" si="4"/>
        <v>4.0023954486475475</v>
      </c>
      <c r="N68" t="s">
        <v>23</v>
      </c>
      <c r="O68" s="8">
        <v>100.19</v>
      </c>
      <c r="P68" s="8">
        <f>141.09*(100/O52)</f>
        <v>140.82243736899889</v>
      </c>
      <c r="Q68" s="8">
        <f t="shared" si="3"/>
        <v>0</v>
      </c>
      <c r="R68" s="10">
        <f t="shared" si="5"/>
        <v>0</v>
      </c>
      <c r="S68" s="8">
        <f t="shared" si="6"/>
        <v>4.0023954486475475</v>
      </c>
    </row>
    <row r="69" spans="1:19">
      <c r="A69" s="17"/>
      <c r="B69" t="s">
        <v>99</v>
      </c>
      <c r="C69" s="6">
        <v>42907</v>
      </c>
      <c r="D69">
        <v>90</v>
      </c>
      <c r="E69" t="s">
        <v>37</v>
      </c>
      <c r="F69" t="s">
        <v>76</v>
      </c>
      <c r="G69">
        <v>9</v>
      </c>
      <c r="H69" s="8">
        <v>100.19</v>
      </c>
      <c r="I69" s="8">
        <v>134.38999999999999</v>
      </c>
      <c r="J69" s="9">
        <v>0.39900000000000002</v>
      </c>
      <c r="K69" s="8">
        <f>134.79*(100/H62)</f>
        <v>134.53438466912866</v>
      </c>
      <c r="L69" s="8">
        <f>138.8*(100/H62)</f>
        <v>138.53678011777623</v>
      </c>
      <c r="M69" s="8">
        <f t="shared" si="4"/>
        <v>4.0023954486475759</v>
      </c>
      <c r="N69" t="s">
        <v>23</v>
      </c>
      <c r="O69" s="8">
        <v>100.19</v>
      </c>
      <c r="P69" s="8">
        <f>138.79*(100/O52)</f>
        <v>138.52679908174468</v>
      </c>
      <c r="Q69" s="8">
        <f t="shared" ref="Q69:Q81" si="7">L69-P69</f>
        <v>9.981036031547319E-3</v>
      </c>
      <c r="R69" s="10">
        <f t="shared" si="5"/>
        <v>2.4937655860367189E-3</v>
      </c>
      <c r="S69" s="8">
        <f t="shared" si="6"/>
        <v>3.9924144126160286</v>
      </c>
    </row>
    <row r="70" spans="1:19">
      <c r="A70" s="17"/>
      <c r="B70" s="11" t="s">
        <v>100</v>
      </c>
      <c r="C70" s="12">
        <v>42907</v>
      </c>
      <c r="D70" s="11">
        <v>90</v>
      </c>
      <c r="E70" s="11" t="s">
        <v>37</v>
      </c>
      <c r="F70" s="11" t="s">
        <v>27</v>
      </c>
      <c r="G70" s="11">
        <v>9</v>
      </c>
      <c r="H70" s="14">
        <v>100.19</v>
      </c>
      <c r="I70" s="14">
        <v>135.94999999999999</v>
      </c>
      <c r="J70" s="15" t="s">
        <v>27</v>
      </c>
      <c r="K70" s="14">
        <f>135.95*(100/H62)</f>
        <v>135.69218484878729</v>
      </c>
      <c r="L70" s="14">
        <f>139.96*(100/H62)</f>
        <v>139.69458029743487</v>
      </c>
      <c r="M70" s="14">
        <f t="shared" si="4"/>
        <v>4.0023954486475759</v>
      </c>
      <c r="N70" s="11" t="s">
        <v>23</v>
      </c>
      <c r="O70" s="14">
        <v>100.19</v>
      </c>
      <c r="P70" s="14">
        <f>139.7*(100/O52)</f>
        <v>139.43507336061481</v>
      </c>
      <c r="Q70" s="14">
        <f>L70-P70</f>
        <v>0.25950693682005976</v>
      </c>
      <c r="R70" s="16">
        <f>Q70/M70</f>
        <v>6.4837905236912088E-2</v>
      </c>
      <c r="S70" s="14">
        <f t="shared" si="6"/>
        <v>3.7428885118275161</v>
      </c>
    </row>
    <row r="71" spans="1:19">
      <c r="A71" s="17"/>
      <c r="B71" s="11" t="s">
        <v>101</v>
      </c>
      <c r="C71" s="12">
        <v>42907</v>
      </c>
      <c r="D71" s="11">
        <v>90</v>
      </c>
      <c r="E71" s="11" t="s">
        <v>37</v>
      </c>
      <c r="F71" s="11" t="s">
        <v>27</v>
      </c>
      <c r="G71" s="11">
        <v>9</v>
      </c>
      <c r="H71" s="14">
        <v>100.19</v>
      </c>
      <c r="I71" s="14">
        <v>136.91</v>
      </c>
      <c r="J71" s="15" t="s">
        <v>27</v>
      </c>
      <c r="K71" s="14">
        <f>136.91*(100/H62)</f>
        <v>136.65036430781515</v>
      </c>
      <c r="L71" s="14">
        <f>140.92*(100/H62)</f>
        <v>140.6527597564627</v>
      </c>
      <c r="M71" s="14">
        <f t="shared" si="4"/>
        <v>4.0023954486475475</v>
      </c>
      <c r="N71" s="11" t="s">
        <v>23</v>
      </c>
      <c r="O71" s="14">
        <v>100.19</v>
      </c>
      <c r="P71" s="13" t="s">
        <v>22</v>
      </c>
      <c r="Q71" s="13" t="s">
        <v>22</v>
      </c>
      <c r="R71" s="13" t="s">
        <v>22</v>
      </c>
      <c r="S71" s="13" t="s">
        <v>22</v>
      </c>
    </row>
    <row r="72" spans="1:19">
      <c r="A72" s="17" t="s">
        <v>58</v>
      </c>
      <c r="B72" t="s">
        <v>102</v>
      </c>
      <c r="C72" s="6">
        <v>42922</v>
      </c>
      <c r="D72">
        <v>90</v>
      </c>
      <c r="E72" t="s">
        <v>37</v>
      </c>
      <c r="F72" t="s">
        <v>70</v>
      </c>
      <c r="G72">
        <v>9</v>
      </c>
      <c r="H72" s="8">
        <v>100.2</v>
      </c>
      <c r="I72" s="8">
        <f>136.8*(100/H72)</f>
        <v>136.52694610778443</v>
      </c>
      <c r="J72" s="9">
        <v>0.3997</v>
      </c>
      <c r="K72" s="8">
        <f>137.2*(100/H72)</f>
        <v>136.92614770459079</v>
      </c>
      <c r="L72" s="8">
        <f>141.22*(100/H72)</f>
        <v>140.93812375249499</v>
      </c>
      <c r="M72" s="8">
        <f t="shared" si="4"/>
        <v>4.0119760479041986</v>
      </c>
      <c r="N72" t="s">
        <v>23</v>
      </c>
      <c r="O72" s="8">
        <v>100.2</v>
      </c>
      <c r="P72" s="8">
        <f>141.21*(100/O72)</f>
        <v>140.92814371257484</v>
      </c>
      <c r="Q72" s="8">
        <f t="shared" si="7"/>
        <v>9.9800399201512846E-3</v>
      </c>
      <c r="R72" s="10">
        <f t="shared" si="5"/>
        <v>2.4875621890526295E-3</v>
      </c>
      <c r="S72" s="8">
        <f t="shared" si="6"/>
        <v>4.0019960079840473</v>
      </c>
    </row>
    <row r="73" spans="1:19">
      <c r="A73" s="17"/>
      <c r="B73" t="s">
        <v>103</v>
      </c>
      <c r="C73" s="6">
        <v>42922</v>
      </c>
      <c r="D73">
        <v>90</v>
      </c>
      <c r="E73" t="s">
        <v>37</v>
      </c>
      <c r="F73" t="s">
        <v>70</v>
      </c>
      <c r="G73">
        <v>9</v>
      </c>
      <c r="H73" s="8">
        <v>100.2</v>
      </c>
      <c r="I73" s="8">
        <f>138.06*(100/H72)</f>
        <v>137.78443113772454</v>
      </c>
      <c r="J73" s="9">
        <v>0.39950000000000002</v>
      </c>
      <c r="K73" s="8">
        <f>138.46*(100/H72)</f>
        <v>138.18363273453093</v>
      </c>
      <c r="L73" s="8">
        <f>142.48*(100/H72)</f>
        <v>142.1956087824351</v>
      </c>
      <c r="M73" s="8">
        <f t="shared" si="4"/>
        <v>4.0119760479041702</v>
      </c>
      <c r="N73" t="s">
        <v>23</v>
      </c>
      <c r="O73" s="8">
        <v>100.2</v>
      </c>
      <c r="P73" s="8">
        <f>142.48*(100/O72)</f>
        <v>142.1956087824351</v>
      </c>
      <c r="Q73" s="8">
        <f t="shared" si="7"/>
        <v>0</v>
      </c>
      <c r="R73" s="10">
        <f t="shared" si="5"/>
        <v>0</v>
      </c>
      <c r="S73" s="8">
        <f t="shared" si="6"/>
        <v>4.0119760479041702</v>
      </c>
    </row>
    <row r="74" spans="1:19">
      <c r="A74" s="17"/>
      <c r="B74" t="s">
        <v>104</v>
      </c>
      <c r="C74" s="6">
        <v>42922</v>
      </c>
      <c r="D74">
        <v>90</v>
      </c>
      <c r="E74" t="s">
        <v>37</v>
      </c>
      <c r="F74" t="s">
        <v>70</v>
      </c>
      <c r="G74">
        <v>9</v>
      </c>
      <c r="H74" s="8">
        <v>100.2</v>
      </c>
      <c r="I74" s="8">
        <f>136.81*(100/H72)</f>
        <v>136.53692614770458</v>
      </c>
      <c r="J74" s="9">
        <v>0.39950000000000002</v>
      </c>
      <c r="K74" s="8">
        <f>137.21*(100/H72)</f>
        <v>136.93612774451097</v>
      </c>
      <c r="L74" s="8">
        <f>141.22*(100/H72)</f>
        <v>140.93812375249499</v>
      </c>
      <c r="M74" s="8">
        <f t="shared" si="4"/>
        <v>4.0019960079840189</v>
      </c>
      <c r="N74" t="s">
        <v>23</v>
      </c>
      <c r="O74" s="8">
        <v>100.2</v>
      </c>
      <c r="P74" s="8">
        <f>141.21*(100/O72)</f>
        <v>140.92814371257484</v>
      </c>
      <c r="Q74" s="8">
        <f t="shared" si="7"/>
        <v>9.9800399201512846E-3</v>
      </c>
      <c r="R74" s="10">
        <f t="shared" si="5"/>
        <v>2.4937655860328227E-3</v>
      </c>
      <c r="S74" s="8">
        <f t="shared" si="6"/>
        <v>3.9920159680638676</v>
      </c>
    </row>
    <row r="75" spans="1:19">
      <c r="A75" s="17"/>
      <c r="B75" t="s">
        <v>105</v>
      </c>
      <c r="C75" s="6">
        <v>42922</v>
      </c>
      <c r="D75">
        <v>90</v>
      </c>
      <c r="E75" t="s">
        <v>37</v>
      </c>
      <c r="F75" t="s">
        <v>27</v>
      </c>
      <c r="G75">
        <v>9</v>
      </c>
      <c r="H75" s="8">
        <v>100.2</v>
      </c>
      <c r="I75" s="8">
        <f>138.07*(100/H72)</f>
        <v>137.79441117764469</v>
      </c>
      <c r="J75" s="9" t="s">
        <v>27</v>
      </c>
      <c r="K75" s="8">
        <f>138.07*(100/H72)</f>
        <v>137.79441117764469</v>
      </c>
      <c r="L75" s="8">
        <f>142.09*(100/H72)</f>
        <v>141.80638722554889</v>
      </c>
      <c r="M75" s="8">
        <f t="shared" si="4"/>
        <v>4.0119760479041986</v>
      </c>
      <c r="N75" t="s">
        <v>23</v>
      </c>
      <c r="O75" s="8">
        <v>100.2</v>
      </c>
      <c r="P75" s="8">
        <f>142.07*(100/O72)</f>
        <v>141.78642714570856</v>
      </c>
      <c r="Q75" s="8">
        <f t="shared" si="7"/>
        <v>1.9960079840330991E-2</v>
      </c>
      <c r="R75" s="10">
        <f t="shared" si="5"/>
        <v>4.9751243781123427E-3</v>
      </c>
      <c r="S75" s="8">
        <f t="shared" si="6"/>
        <v>3.9920159680638676</v>
      </c>
    </row>
    <row r="76" spans="1:19">
      <c r="A76" s="17"/>
      <c r="B76" t="s">
        <v>106</v>
      </c>
      <c r="C76" s="6">
        <v>42922</v>
      </c>
      <c r="D76">
        <v>90</v>
      </c>
      <c r="E76" t="s">
        <v>37</v>
      </c>
      <c r="F76" t="s">
        <v>27</v>
      </c>
      <c r="G76">
        <v>9</v>
      </c>
      <c r="H76" s="8">
        <v>100.2</v>
      </c>
      <c r="I76" s="8">
        <f>135.69*(100/H72)</f>
        <v>135.4191616766467</v>
      </c>
      <c r="J76" s="9" t="s">
        <v>27</v>
      </c>
      <c r="K76" s="8">
        <f>135.69*(100/H72)</f>
        <v>135.4191616766467</v>
      </c>
      <c r="L76" s="8">
        <f>139.7*(100/H72)</f>
        <v>139.42115768463071</v>
      </c>
      <c r="M76" s="8">
        <f t="shared" si="4"/>
        <v>4.0019960079840189</v>
      </c>
      <c r="N76" t="s">
        <v>23</v>
      </c>
      <c r="O76" s="8">
        <v>100.2</v>
      </c>
      <c r="P76" s="8">
        <f>139.69*(100/O72)</f>
        <v>139.41117764471056</v>
      </c>
      <c r="Q76" s="8">
        <f t="shared" si="7"/>
        <v>9.9800399201512846E-3</v>
      </c>
      <c r="R76" s="10">
        <f t="shared" si="5"/>
        <v>2.4937655860328227E-3</v>
      </c>
      <c r="S76" s="8">
        <f t="shared" si="6"/>
        <v>3.9920159680638676</v>
      </c>
    </row>
    <row r="77" spans="1:19">
      <c r="A77" s="17"/>
      <c r="B77" t="s">
        <v>107</v>
      </c>
      <c r="C77" s="6">
        <v>42922</v>
      </c>
      <c r="D77">
        <v>90</v>
      </c>
      <c r="E77" t="s">
        <v>37</v>
      </c>
      <c r="F77" t="s">
        <v>76</v>
      </c>
      <c r="G77">
        <v>2</v>
      </c>
      <c r="H77" s="8">
        <v>100.2</v>
      </c>
      <c r="I77" s="8">
        <f>136.88*(100/H72)</f>
        <v>136.60678642714569</v>
      </c>
      <c r="J77" s="9">
        <v>0.3997</v>
      </c>
      <c r="K77" s="8">
        <f>137.28*(100/H72)</f>
        <v>137.00598802395209</v>
      </c>
      <c r="L77" s="8">
        <f>141.29*(100/H72)</f>
        <v>141.0079840319361</v>
      </c>
      <c r="M77" s="8">
        <f t="shared" si="4"/>
        <v>4.0019960079840189</v>
      </c>
      <c r="N77" t="s">
        <v>23</v>
      </c>
      <c r="O77" s="8">
        <v>100.2</v>
      </c>
      <c r="P77" s="8">
        <f>141.27*(100/O72)</f>
        <v>140.9880239520958</v>
      </c>
      <c r="Q77" s="8">
        <f t="shared" si="7"/>
        <v>1.9960079840302569E-2</v>
      </c>
      <c r="R77" s="10">
        <f t="shared" si="5"/>
        <v>4.9875311720656455E-3</v>
      </c>
      <c r="S77" s="8">
        <f t="shared" si="6"/>
        <v>3.9820359281437163</v>
      </c>
    </row>
    <row r="78" spans="1:19">
      <c r="A78" s="17"/>
      <c r="B78" t="s">
        <v>108</v>
      </c>
      <c r="C78" s="6">
        <v>42922</v>
      </c>
      <c r="D78">
        <v>90</v>
      </c>
      <c r="E78" t="s">
        <v>37</v>
      </c>
      <c r="F78" t="s">
        <v>76</v>
      </c>
      <c r="G78">
        <v>2</v>
      </c>
      <c r="H78" s="8">
        <v>100.2</v>
      </c>
      <c r="I78" s="8">
        <f>135.36*(100/H72)</f>
        <v>135.08982035928145</v>
      </c>
      <c r="J78" s="9">
        <v>0.39989999999999998</v>
      </c>
      <c r="K78" s="8">
        <f>135.76*(100/H72)</f>
        <v>135.48902195608781</v>
      </c>
      <c r="L78" s="8">
        <f>139.77*(100/H72)</f>
        <v>139.49101796407186</v>
      </c>
      <c r="M78" s="8">
        <f t="shared" si="4"/>
        <v>4.0019960079840473</v>
      </c>
      <c r="N78" t="s">
        <v>23</v>
      </c>
      <c r="O78" s="8">
        <v>100.2</v>
      </c>
      <c r="P78" s="8">
        <f>139.77*(100/O72)</f>
        <v>139.49101796407186</v>
      </c>
      <c r="Q78" s="8">
        <f t="shared" si="7"/>
        <v>0</v>
      </c>
      <c r="R78" s="10">
        <f t="shared" si="5"/>
        <v>0</v>
      </c>
      <c r="S78" s="8">
        <f t="shared" si="6"/>
        <v>4.0019960079840473</v>
      </c>
    </row>
    <row r="79" spans="1:19">
      <c r="A79" s="17"/>
      <c r="B79" t="s">
        <v>109</v>
      </c>
      <c r="C79" s="6">
        <v>42922</v>
      </c>
      <c r="D79">
        <v>90</v>
      </c>
      <c r="E79" t="s">
        <v>37</v>
      </c>
      <c r="F79" t="s">
        <v>76</v>
      </c>
      <c r="G79">
        <v>2</v>
      </c>
      <c r="H79" s="8">
        <v>100.2</v>
      </c>
      <c r="I79" s="8">
        <f>136.62*(100/H72)</f>
        <v>136.34730538922156</v>
      </c>
      <c r="J79" s="9">
        <v>0.39989999999999998</v>
      </c>
      <c r="K79" s="8">
        <f>137.02*(100/H72)</f>
        <v>136.74650698602795</v>
      </c>
      <c r="L79" s="8">
        <f>141.03*(100/H72)</f>
        <v>140.74850299401197</v>
      </c>
      <c r="M79" s="8">
        <f t="shared" si="4"/>
        <v>4.0019960079840189</v>
      </c>
      <c r="N79" t="s">
        <v>23</v>
      </c>
      <c r="O79" s="8">
        <v>100.2</v>
      </c>
      <c r="P79" s="8">
        <f>141.03*(100/O72)</f>
        <v>140.74850299401197</v>
      </c>
      <c r="Q79" s="8">
        <f t="shared" si="7"/>
        <v>0</v>
      </c>
      <c r="R79" s="10">
        <f t="shared" si="5"/>
        <v>0</v>
      </c>
      <c r="S79" s="8">
        <f t="shared" si="6"/>
        <v>4.0019960079840189</v>
      </c>
    </row>
    <row r="80" spans="1:19">
      <c r="A80" s="17"/>
      <c r="B80" t="s">
        <v>110</v>
      </c>
      <c r="C80" s="6">
        <v>42922</v>
      </c>
      <c r="D80">
        <v>90</v>
      </c>
      <c r="E80" t="s">
        <v>37</v>
      </c>
      <c r="F80" t="s">
        <v>27</v>
      </c>
      <c r="G80">
        <v>2</v>
      </c>
      <c r="H80" s="8">
        <v>100.2</v>
      </c>
      <c r="I80" s="8">
        <f>136.59*(100/H72)</f>
        <v>136.31736526946108</v>
      </c>
      <c r="J80" s="9" t="s">
        <v>27</v>
      </c>
      <c r="K80" s="8">
        <f>136.6*(100/H72)</f>
        <v>136.32734530938123</v>
      </c>
      <c r="L80" s="8">
        <f>140.61*(100/H72)</f>
        <v>140.32934131736528</v>
      </c>
      <c r="M80" s="8">
        <f t="shared" si="4"/>
        <v>4.0019960079840473</v>
      </c>
      <c r="N80" t="s">
        <v>23</v>
      </c>
      <c r="O80" s="8">
        <v>100.2</v>
      </c>
      <c r="P80" s="8">
        <f>140.61*(100/O72)</f>
        <v>140.32934131736528</v>
      </c>
      <c r="Q80" s="8">
        <f t="shared" si="7"/>
        <v>0</v>
      </c>
      <c r="R80" s="10">
        <f t="shared" si="5"/>
        <v>0</v>
      </c>
      <c r="S80" s="8">
        <f t="shared" si="6"/>
        <v>4.0019960079840473</v>
      </c>
    </row>
    <row r="81" spans="1:19">
      <c r="A81" s="17"/>
      <c r="B81" t="s">
        <v>111</v>
      </c>
      <c r="C81" s="6">
        <v>42922</v>
      </c>
      <c r="D81">
        <v>90</v>
      </c>
      <c r="E81" t="s">
        <v>37</v>
      </c>
      <c r="F81" t="s">
        <v>27</v>
      </c>
      <c r="G81">
        <v>2</v>
      </c>
      <c r="H81" s="8">
        <v>100.2</v>
      </c>
      <c r="I81" s="8">
        <f>136.15*(100/H72)</f>
        <v>135.87824351297405</v>
      </c>
      <c r="J81" s="9" t="s">
        <v>27</v>
      </c>
      <c r="K81" s="8">
        <f>136.15*(100/H72)</f>
        <v>135.87824351297405</v>
      </c>
      <c r="L81" s="18">
        <f>140.17*(100/H72)</f>
        <v>139.89021956087822</v>
      </c>
      <c r="M81" s="18">
        <f>L81-K81</f>
        <v>4.0119760479041702</v>
      </c>
      <c r="N81" t="s">
        <v>23</v>
      </c>
      <c r="O81" s="8">
        <v>100.2</v>
      </c>
      <c r="P81" s="8">
        <f>140.16*(100/O72)</f>
        <v>139.88023952095807</v>
      </c>
      <c r="Q81" s="8">
        <f t="shared" si="7"/>
        <v>9.9800399201512846E-3</v>
      </c>
      <c r="R81" s="10">
        <f t="shared" si="5"/>
        <v>2.4875621890526468E-3</v>
      </c>
      <c r="S81" s="8">
        <f t="shared" si="6"/>
        <v>4.0019960079840189</v>
      </c>
    </row>
  </sheetData>
  <mergeCells count="8">
    <mergeCell ref="A62:A71"/>
    <mergeCell ref="A72:A81"/>
    <mergeCell ref="A2:A11"/>
    <mergeCell ref="A12:A21"/>
    <mergeCell ref="A22:A31"/>
    <mergeCell ref="A32:A41"/>
    <mergeCell ref="A42:A51"/>
    <mergeCell ref="A52:A61"/>
  </mergeCells>
  <conditionalFormatting sqref="M2:M81">
    <cfRule type="cellIs" dxfId="3" priority="4" operator="notBetween">
      <formula>3.92</formula>
      <formula>4.08</formula>
    </cfRule>
  </conditionalFormatting>
  <conditionalFormatting sqref="Q2:Q64 Q66:Q70 Q72:Q81">
    <cfRule type="cellIs" dxfId="2" priority="3" operator="greaterThan">
      <formula>0.2</formula>
    </cfRule>
  </conditionalFormatting>
  <conditionalFormatting sqref="R2:R64 R66:R70 R72:R81">
    <cfRule type="cellIs" dxfId="1" priority="2" operator="greaterThan">
      <formula>0.05</formula>
    </cfRule>
  </conditionalFormatting>
  <conditionalFormatting sqref="S2:S64 S66:S70 S72:S81">
    <cfRule type="cellIs" dxfId="0" priority="1" operator="lessThan">
      <formula>3.8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M11" sqref="M11"/>
    </sheetView>
  </sheetViews>
  <sheetFormatPr defaultRowHeight="15"/>
  <cols>
    <col min="9" max="9" width="5.7109375" customWidth="1"/>
    <col min="10" max="10" width="16.5703125" customWidth="1"/>
    <col min="12" max="12" width="4.42578125" customWidth="1"/>
    <col min="13" max="13" width="2.42578125" customWidth="1"/>
  </cols>
  <sheetData>
    <row r="1" spans="1:15" ht="51.75">
      <c r="A1" s="1" t="s">
        <v>0</v>
      </c>
      <c r="B1" s="1" t="s">
        <v>1</v>
      </c>
      <c r="C1" s="2" t="s">
        <v>5</v>
      </c>
      <c r="D1" s="2" t="s">
        <v>9</v>
      </c>
      <c r="E1" s="2" t="s">
        <v>112</v>
      </c>
      <c r="F1" s="1" t="s">
        <v>113</v>
      </c>
      <c r="G1" s="19" t="s">
        <v>114</v>
      </c>
      <c r="H1" s="1" t="s">
        <v>121</v>
      </c>
      <c r="I1" s="1"/>
      <c r="N1" s="1" t="s">
        <v>120</v>
      </c>
      <c r="O1" s="1" t="s">
        <v>114</v>
      </c>
    </row>
    <row r="2" spans="1:15">
      <c r="A2" s="5" t="s">
        <v>18</v>
      </c>
      <c r="B2" t="s">
        <v>19</v>
      </c>
      <c r="C2" t="s">
        <v>21</v>
      </c>
      <c r="D2">
        <f>[1]weighing!J2</f>
        <v>0.3982</v>
      </c>
      <c r="E2" s="8">
        <f>[1]weighing!M2</f>
        <v>4.0199999999999818</v>
      </c>
      <c r="F2">
        <f>IF(C2="Blank","Blank",E2/D2)</f>
        <v>10.095429432445961</v>
      </c>
      <c r="G2" s="8">
        <f>IF(C2="0.4Li-ISG01",$O$2,IF(C2="0.4Li-ISG02",$O$3,IF(C2="0.9Li-ISG01", $O$4, IF(C2="0.9Li-ISG02", $O$5,"Blank"))))</f>
        <v>2.5011489330426047</v>
      </c>
      <c r="H2">
        <f>IF(G2="Blank","Blank",((D2/(0.0000007455*G2))*0.00000003976)/(E2*0.000001))</f>
        <v>2112.1967867817457</v>
      </c>
      <c r="J2" t="s">
        <v>115</v>
      </c>
      <c r="K2">
        <f>MAX(H:H)</f>
        <v>2159.8964610310554</v>
      </c>
      <c r="N2" t="s">
        <v>21</v>
      </c>
      <c r="O2" s="8">
        <f>'[2]Li-ISG density'!C17</f>
        <v>2.5011489330426047</v>
      </c>
    </row>
    <row r="3" spans="1:15">
      <c r="A3" s="5"/>
      <c r="B3" t="s">
        <v>24</v>
      </c>
      <c r="C3" t="s">
        <v>21</v>
      </c>
      <c r="D3">
        <f>[1]weighing!J3</f>
        <v>0.39879999999999999</v>
      </c>
      <c r="E3" s="8">
        <f>[1]weighing!M3</f>
        <v>4.0200000000000102</v>
      </c>
      <c r="F3">
        <f t="shared" ref="F3:F66" si="0">IF(C3="Blank","Blank",E3/D3)</f>
        <v>10.080240722166526</v>
      </c>
      <c r="G3" s="8">
        <f t="shared" ref="G3:G66" si="1">IF(C3="0.4Li-ISG01",$O$2,IF(C3="0.4Li-ISG02",$O$3,IF(C3="0.9Li-ISG01", $O$4, IF(C3="0.9Li-ISG02", $O$5,"Blank"))))</f>
        <v>2.5011489330426047</v>
      </c>
      <c r="H3">
        <f>IF(G3="Blank","Blank",((D3/(0.0000007455*G3))*0.00000003976)/(E3*0.000001))</f>
        <v>2115.3794037382077</v>
      </c>
      <c r="J3" t="s">
        <v>116</v>
      </c>
      <c r="K3">
        <f>MIN(H:H)</f>
        <v>2110.6594432725692</v>
      </c>
      <c r="N3" t="s">
        <v>70</v>
      </c>
      <c r="O3" s="8">
        <f>'[2]Li-ISG density'!C18</f>
        <v>2.5056519550194429</v>
      </c>
    </row>
    <row r="4" spans="1:15">
      <c r="A4" s="5"/>
      <c r="B4" t="s">
        <v>25</v>
      </c>
      <c r="C4" t="s">
        <v>21</v>
      </c>
      <c r="D4">
        <f>[1]weighing!J4</f>
        <v>0.39889999999999998</v>
      </c>
      <c r="E4" s="8">
        <f>[1]weighing!M4</f>
        <v>4.0300000000000011</v>
      </c>
      <c r="F4">
        <f t="shared" si="0"/>
        <v>10.102782652293811</v>
      </c>
      <c r="G4" s="8">
        <f t="shared" si="1"/>
        <v>2.5011489330426047</v>
      </c>
      <c r="H4">
        <f>IF(G4="Blank","Blank",((D4/(0.0000007455*G4))*0.00000003976)/(E4*0.000001))</f>
        <v>2110.6594432725692</v>
      </c>
      <c r="J4" t="s">
        <v>117</v>
      </c>
      <c r="K4">
        <f>MAX(F:F)</f>
        <v>10.102782652293811</v>
      </c>
      <c r="N4" t="s">
        <v>30</v>
      </c>
      <c r="O4" s="8">
        <f>'[2]Li-ISG density'!C19</f>
        <v>2.483457327783007</v>
      </c>
    </row>
    <row r="5" spans="1:15">
      <c r="A5" s="5"/>
      <c r="B5" t="s">
        <v>26</v>
      </c>
      <c r="C5" t="s">
        <v>27</v>
      </c>
      <c r="D5" t="str">
        <f>[1]weighing!J5</f>
        <v>Blank</v>
      </c>
      <c r="E5" s="8">
        <f>[1]weighing!M5</f>
        <v>4.0200000000000102</v>
      </c>
      <c r="F5" t="str">
        <f t="shared" si="0"/>
        <v>Blank</v>
      </c>
      <c r="G5" s="8" t="str">
        <f t="shared" si="1"/>
        <v>Blank</v>
      </c>
      <c r="H5" t="str">
        <f>IF(G5="Blank","Blank",((D5/(0.0000007455*G5))*0.00000003976)/(E5*0.000001))</f>
        <v>Blank</v>
      </c>
      <c r="J5" t="s">
        <v>118</v>
      </c>
      <c r="K5">
        <f>MIN(F:F)</f>
        <v>9.9428089132921169</v>
      </c>
      <c r="N5" t="s">
        <v>76</v>
      </c>
      <c r="O5" s="8">
        <f>'[2]Li-ISG density'!C20</f>
        <v>2.4803956443861597</v>
      </c>
    </row>
    <row r="6" spans="1:15">
      <c r="A6" s="5"/>
      <c r="B6" t="s">
        <v>28</v>
      </c>
      <c r="C6" t="s">
        <v>27</v>
      </c>
      <c r="D6" t="str">
        <f>[1]weighing!J6</f>
        <v>Blank</v>
      </c>
      <c r="E6" s="8">
        <f>[1]weighing!M6</f>
        <v>4.0099999999999909</v>
      </c>
      <c r="F6" t="str">
        <f t="shared" si="0"/>
        <v>Blank</v>
      </c>
      <c r="G6" s="8" t="str">
        <f t="shared" si="1"/>
        <v>Blank</v>
      </c>
      <c r="H6" t="str">
        <f t="shared" ref="H6:H69" si="2">IF(G6="Blank","Blank",((D6/(0.0000007455*G6))*0.00000003976)/(E6*0.000001))</f>
        <v>Blank</v>
      </c>
      <c r="J6" s="20" t="s">
        <v>119</v>
      </c>
      <c r="K6">
        <f>AVERAGE(H:H)</f>
        <v>2135.9564572600907</v>
      </c>
    </row>
    <row r="7" spans="1:15">
      <c r="A7" s="5"/>
      <c r="B7" t="s">
        <v>29</v>
      </c>
      <c r="C7" t="s">
        <v>30</v>
      </c>
      <c r="D7">
        <f>[1]weighing!J7</f>
        <v>0.39889999999999998</v>
      </c>
      <c r="E7" s="8">
        <f>[1]weighing!M7</f>
        <v>4.0200000000000102</v>
      </c>
      <c r="F7">
        <f t="shared" si="0"/>
        <v>10.077713712709979</v>
      </c>
      <c r="G7" s="8">
        <f t="shared" si="1"/>
        <v>2.483457327783007</v>
      </c>
      <c r="H7">
        <f t="shared" si="2"/>
        <v>2130.9831174746446</v>
      </c>
    </row>
    <row r="8" spans="1:15">
      <c r="A8" s="5"/>
      <c r="B8" t="s">
        <v>31</v>
      </c>
      <c r="C8" t="s">
        <v>30</v>
      </c>
      <c r="D8">
        <f>[1]weighing!J8</f>
        <v>0.39989999999999998</v>
      </c>
      <c r="E8" s="8">
        <f>[1]weighing!M8</f>
        <v>4.0200000000000102</v>
      </c>
      <c r="F8">
        <f t="shared" si="0"/>
        <v>10.052513128282097</v>
      </c>
      <c r="G8" s="8">
        <f t="shared" si="1"/>
        <v>2.483457327783007</v>
      </c>
      <c r="H8">
        <f t="shared" si="2"/>
        <v>2136.3252661772631</v>
      </c>
    </row>
    <row r="9" spans="1:15">
      <c r="A9" s="5"/>
      <c r="B9" t="s">
        <v>32</v>
      </c>
      <c r="C9" t="s">
        <v>30</v>
      </c>
      <c r="D9">
        <f>[1]weighing!J9</f>
        <v>0.39929999999999999</v>
      </c>
      <c r="E9" s="8">
        <f>[1]weighing!M9</f>
        <v>4.0100000000000193</v>
      </c>
      <c r="F9">
        <f t="shared" si="0"/>
        <v>10.042574505384472</v>
      </c>
      <c r="G9" s="8">
        <f t="shared" si="1"/>
        <v>2.483457327783007</v>
      </c>
      <c r="H9">
        <f t="shared" si="2"/>
        <v>2138.4394781451024</v>
      </c>
    </row>
    <row r="10" spans="1:15">
      <c r="A10" s="5"/>
      <c r="B10" t="s">
        <v>33</v>
      </c>
      <c r="C10" t="s">
        <v>27</v>
      </c>
      <c r="D10" t="str">
        <f>[1]weighing!J10</f>
        <v>Blank</v>
      </c>
      <c r="E10" s="8">
        <f>[1]weighing!M10</f>
        <v>4</v>
      </c>
      <c r="F10" t="str">
        <f t="shared" si="0"/>
        <v>Blank</v>
      </c>
      <c r="G10" s="8" t="str">
        <f t="shared" si="1"/>
        <v>Blank</v>
      </c>
      <c r="H10" t="str">
        <f t="shared" si="2"/>
        <v>Blank</v>
      </c>
    </row>
    <row r="11" spans="1:15">
      <c r="A11" s="5"/>
      <c r="B11" t="s">
        <v>34</v>
      </c>
      <c r="C11" t="s">
        <v>27</v>
      </c>
      <c r="D11" t="str">
        <f>[1]weighing!J11</f>
        <v>Blank</v>
      </c>
      <c r="E11" s="8">
        <f>[1]weighing!M11</f>
        <v>4</v>
      </c>
      <c r="F11" t="str">
        <f t="shared" si="0"/>
        <v>Blank</v>
      </c>
      <c r="G11" s="8" t="str">
        <f t="shared" si="1"/>
        <v>Blank</v>
      </c>
      <c r="H11" t="str">
        <f t="shared" si="2"/>
        <v>Blank</v>
      </c>
    </row>
    <row r="12" spans="1:15">
      <c r="A12" s="17" t="s">
        <v>35</v>
      </c>
      <c r="B12" t="s">
        <v>36</v>
      </c>
      <c r="C12" t="s">
        <v>21</v>
      </c>
      <c r="D12">
        <f>[1]weighing!J12</f>
        <v>0.39800000000000002</v>
      </c>
      <c r="E12" s="8">
        <f>[1]weighing!M12</f>
        <v>3.9880656389855744</v>
      </c>
      <c r="F12">
        <f>IF(C12="Blank","Blank",E12/D12)</f>
        <v>10.020265424586871</v>
      </c>
      <c r="G12" s="8">
        <f t="shared" si="1"/>
        <v>2.5011489330426047</v>
      </c>
      <c r="H12">
        <f>IF(G12="Blank","Blank",((D12/(0.0000007455*G12))*0.00000003976)/(E12*0.000001))</f>
        <v>2128.0407958128894</v>
      </c>
    </row>
    <row r="13" spans="1:15">
      <c r="A13" s="17"/>
      <c r="B13" t="s">
        <v>38</v>
      </c>
      <c r="C13" t="s">
        <v>21</v>
      </c>
      <c r="D13">
        <f>[1]weighing!J13</f>
        <v>0.39900000000000002</v>
      </c>
      <c r="E13" s="8">
        <f>[1]weighing!M13</f>
        <v>3.9880656389856028</v>
      </c>
      <c r="F13">
        <f t="shared" si="0"/>
        <v>9.9951519774075255</v>
      </c>
      <c r="G13" s="8">
        <f t="shared" si="1"/>
        <v>2.5011489330426047</v>
      </c>
      <c r="H13">
        <f t="shared" si="2"/>
        <v>2133.3876319832589</v>
      </c>
    </row>
    <row r="14" spans="1:15">
      <c r="A14" s="17"/>
      <c r="B14" t="s">
        <v>39</v>
      </c>
      <c r="C14" t="s">
        <v>21</v>
      </c>
      <c r="D14">
        <f>[1]weighing!J14</f>
        <v>0.39939999999999998</v>
      </c>
      <c r="E14" s="8">
        <f>[1]weighing!M14</f>
        <v>3.9781203381402293</v>
      </c>
      <c r="F14">
        <f t="shared" si="0"/>
        <v>9.9602412071613156</v>
      </c>
      <c r="G14" s="8">
        <f t="shared" si="1"/>
        <v>2.5011489330426047</v>
      </c>
      <c r="H14">
        <f t="shared" si="2"/>
        <v>2140.8651823675532</v>
      </c>
    </row>
    <row r="15" spans="1:15">
      <c r="A15" s="17"/>
      <c r="B15" t="s">
        <v>40</v>
      </c>
      <c r="C15" t="s">
        <v>27</v>
      </c>
      <c r="D15" t="str">
        <f>[1]weighing!J15</f>
        <v>Blank</v>
      </c>
      <c r="E15" s="8">
        <f>[1]weighing!M15</f>
        <v>3.9880656389856028</v>
      </c>
      <c r="F15" t="str">
        <f t="shared" si="0"/>
        <v>Blank</v>
      </c>
      <c r="G15" s="8" t="str">
        <f t="shared" si="1"/>
        <v>Blank</v>
      </c>
      <c r="H15" t="str">
        <f t="shared" si="2"/>
        <v>Blank</v>
      </c>
    </row>
    <row r="16" spans="1:15">
      <c r="A16" s="17"/>
      <c r="B16" t="s">
        <v>41</v>
      </c>
      <c r="C16" t="s">
        <v>27</v>
      </c>
      <c r="D16" t="str">
        <f>[1]weighing!J16</f>
        <v>Blank</v>
      </c>
      <c r="E16" s="8">
        <f>[1]weighing!M16</f>
        <v>4.0079562406762648</v>
      </c>
      <c r="F16" t="str">
        <f t="shared" si="0"/>
        <v>Blank</v>
      </c>
      <c r="G16" s="8" t="str">
        <f t="shared" si="1"/>
        <v>Blank</v>
      </c>
      <c r="H16" t="str">
        <f t="shared" si="2"/>
        <v>Blank</v>
      </c>
    </row>
    <row r="17" spans="1:8">
      <c r="A17" s="17"/>
      <c r="B17" t="s">
        <v>42</v>
      </c>
      <c r="C17" t="s">
        <v>30</v>
      </c>
      <c r="D17">
        <f>[1]weighing!J17</f>
        <v>0.39989999999999998</v>
      </c>
      <c r="E17" s="8">
        <f>[1]weighing!M17</f>
        <v>3.9880656389855744</v>
      </c>
      <c r="F17">
        <f t="shared" si="0"/>
        <v>9.9726572617793821</v>
      </c>
      <c r="G17" s="8">
        <f t="shared" si="1"/>
        <v>2.483457327783007</v>
      </c>
      <c r="H17">
        <f t="shared" si="2"/>
        <v>2153.431850789977</v>
      </c>
    </row>
    <row r="18" spans="1:8">
      <c r="A18" s="17"/>
      <c r="B18" t="s">
        <v>43</v>
      </c>
      <c r="C18" t="s">
        <v>30</v>
      </c>
      <c r="D18">
        <f>[1]weighing!J18</f>
        <v>0.39910000000000001</v>
      </c>
      <c r="E18" s="8">
        <f>[1]weighing!M18</f>
        <v>3.9681750372948841</v>
      </c>
      <c r="F18">
        <f t="shared" si="0"/>
        <v>9.9428089132921169</v>
      </c>
      <c r="G18" s="8">
        <f t="shared" si="1"/>
        <v>2.483457327783007</v>
      </c>
      <c r="H18">
        <f t="shared" si="2"/>
        <v>2159.8964610310554</v>
      </c>
    </row>
    <row r="19" spans="1:8">
      <c r="A19" s="17"/>
      <c r="B19" t="s">
        <v>44</v>
      </c>
      <c r="C19" t="s">
        <v>30</v>
      </c>
      <c r="D19">
        <f>[1]weighing!J19</f>
        <v>0.39960000000000001</v>
      </c>
      <c r="E19" s="8">
        <f>[1]weighing!M19</f>
        <v>3.998010939830948</v>
      </c>
      <c r="F19">
        <f t="shared" si="0"/>
        <v>10.00503238195933</v>
      </c>
      <c r="G19" s="8">
        <f t="shared" si="1"/>
        <v>2.483457327783007</v>
      </c>
      <c r="H19">
        <f t="shared" si="2"/>
        <v>2146.4635959850893</v>
      </c>
    </row>
    <row r="20" spans="1:8">
      <c r="A20" s="17"/>
      <c r="B20" t="s">
        <v>45</v>
      </c>
      <c r="C20" t="s">
        <v>27</v>
      </c>
      <c r="D20" t="str">
        <f>[1]weighing!J20</f>
        <v>Blank</v>
      </c>
      <c r="E20" s="8">
        <f>[1]weighing!M20</f>
        <v>3.9880656389855744</v>
      </c>
      <c r="F20" t="str">
        <f t="shared" si="0"/>
        <v>Blank</v>
      </c>
      <c r="G20" s="8" t="str">
        <f t="shared" si="1"/>
        <v>Blank</v>
      </c>
      <c r="H20" t="str">
        <f t="shared" si="2"/>
        <v>Blank</v>
      </c>
    </row>
    <row r="21" spans="1:8">
      <c r="A21" s="17"/>
      <c r="B21" t="s">
        <v>46</v>
      </c>
      <c r="C21" t="s">
        <v>27</v>
      </c>
      <c r="D21" t="str">
        <f>[1]weighing!J21</f>
        <v>Blank</v>
      </c>
      <c r="E21" s="8">
        <f>[1]weighing!M21</f>
        <v>3.9681750372948557</v>
      </c>
      <c r="F21" t="str">
        <f t="shared" si="0"/>
        <v>Blank</v>
      </c>
      <c r="G21" s="8" t="str">
        <f t="shared" si="1"/>
        <v>Blank</v>
      </c>
      <c r="H21" t="str">
        <f t="shared" si="2"/>
        <v>Blank</v>
      </c>
    </row>
    <row r="22" spans="1:8">
      <c r="A22" s="17" t="s">
        <v>47</v>
      </c>
      <c r="B22" t="s">
        <v>48</v>
      </c>
      <c r="C22" t="s">
        <v>21</v>
      </c>
      <c r="D22">
        <f>[1]weighing!J22</f>
        <v>0.39989999999999998</v>
      </c>
      <c r="E22" s="8">
        <f>[1]weighing!M22</f>
        <v>4.0123764846791232</v>
      </c>
      <c r="F22">
        <f t="shared" si="0"/>
        <v>10.033449574091332</v>
      </c>
      <c r="G22" s="8">
        <f t="shared" si="1"/>
        <v>2.5011489330426047</v>
      </c>
      <c r="H22">
        <f t="shared" si="2"/>
        <v>2125.2445084745809</v>
      </c>
    </row>
    <row r="23" spans="1:8">
      <c r="A23" s="17"/>
      <c r="B23" t="s">
        <v>49</v>
      </c>
      <c r="C23" t="s">
        <v>21</v>
      </c>
      <c r="D23">
        <f>[1]weighing!J23</f>
        <v>0.39929999999999999</v>
      </c>
      <c r="E23" s="8">
        <f>[1]weighing!M23</f>
        <v>3.9924144126160286</v>
      </c>
      <c r="F23">
        <f t="shared" si="0"/>
        <v>9.9985334651040034</v>
      </c>
      <c r="G23" s="8">
        <f t="shared" si="1"/>
        <v>2.5011489330426047</v>
      </c>
      <c r="H23">
        <f t="shared" si="2"/>
        <v>2132.6661237686239</v>
      </c>
    </row>
    <row r="24" spans="1:8">
      <c r="A24" s="17"/>
      <c r="B24" t="s">
        <v>50</v>
      </c>
      <c r="C24" t="s">
        <v>21</v>
      </c>
      <c r="D24">
        <f>[1]weighing!J24</f>
        <v>0.39879999999999999</v>
      </c>
      <c r="E24" s="8">
        <f>[1]weighing!M24</f>
        <v>4.0023954486475759</v>
      </c>
      <c r="F24">
        <f t="shared" si="0"/>
        <v>10.036096912356008</v>
      </c>
      <c r="G24" s="8">
        <f t="shared" si="1"/>
        <v>2.5011489330426047</v>
      </c>
      <c r="H24">
        <f t="shared" si="2"/>
        <v>2124.6839079584424</v>
      </c>
    </row>
    <row r="25" spans="1:8">
      <c r="A25" s="17"/>
      <c r="B25" t="s">
        <v>51</v>
      </c>
      <c r="C25" t="s">
        <v>27</v>
      </c>
      <c r="D25" t="str">
        <f>[1]weighing!J25</f>
        <v>Blank</v>
      </c>
      <c r="E25" s="8">
        <f>[1]weighing!M25</f>
        <v>4.0023954486475759</v>
      </c>
      <c r="F25" t="str">
        <f t="shared" si="0"/>
        <v>Blank</v>
      </c>
      <c r="G25" s="8" t="str">
        <f t="shared" si="1"/>
        <v>Blank</v>
      </c>
      <c r="H25" t="str">
        <f t="shared" si="2"/>
        <v>Blank</v>
      </c>
    </row>
    <row r="26" spans="1:8">
      <c r="A26" s="17"/>
      <c r="B26" t="s">
        <v>52</v>
      </c>
      <c r="C26" t="s">
        <v>27</v>
      </c>
      <c r="D26" t="str">
        <f>[1]weighing!J26</f>
        <v>Blank</v>
      </c>
      <c r="E26" s="8">
        <f>[1]weighing!M26</f>
        <v>4.0123764846790948</v>
      </c>
      <c r="F26" t="str">
        <f t="shared" si="0"/>
        <v>Blank</v>
      </c>
      <c r="G26" s="8" t="str">
        <f t="shared" si="1"/>
        <v>Blank</v>
      </c>
      <c r="H26" t="str">
        <f t="shared" si="2"/>
        <v>Blank</v>
      </c>
    </row>
    <row r="27" spans="1:8">
      <c r="A27" s="17"/>
      <c r="B27" t="s">
        <v>53</v>
      </c>
      <c r="C27" t="s">
        <v>30</v>
      </c>
      <c r="D27">
        <f>[1]weighing!J27</f>
        <v>0.39950000000000002</v>
      </c>
      <c r="E27" s="8">
        <f>[1]weighing!M27</f>
        <v>4.0023954486476043</v>
      </c>
      <c r="F27">
        <f t="shared" si="0"/>
        <v>10.018511761320662</v>
      </c>
      <c r="G27" s="8">
        <f t="shared" si="1"/>
        <v>2.483457327783007</v>
      </c>
      <c r="H27">
        <f t="shared" si="2"/>
        <v>2143.575642386304</v>
      </c>
    </row>
    <row r="28" spans="1:8">
      <c r="A28" s="17"/>
      <c r="B28" t="s">
        <v>54</v>
      </c>
      <c r="C28" t="s">
        <v>30</v>
      </c>
      <c r="D28">
        <f>[1]weighing!J28</f>
        <v>0.39929999999999999</v>
      </c>
      <c r="E28" s="8">
        <f>[1]weighing!M28</f>
        <v>4.0023954486475475</v>
      </c>
      <c r="F28">
        <f t="shared" si="0"/>
        <v>10.023529798766711</v>
      </c>
      <c r="G28" s="8">
        <f t="shared" si="1"/>
        <v>2.483457327783007</v>
      </c>
      <c r="H28">
        <f t="shared" si="2"/>
        <v>2142.5025131536008</v>
      </c>
    </row>
    <row r="29" spans="1:8">
      <c r="A29" s="17"/>
      <c r="B29" t="s">
        <v>55</v>
      </c>
      <c r="C29" t="s">
        <v>30</v>
      </c>
      <c r="D29">
        <f>[1]weighing!J29</f>
        <v>0.39979999999999999</v>
      </c>
      <c r="E29" s="8">
        <f>[1]weighing!M29</f>
        <v>3.9924144126160286</v>
      </c>
      <c r="F29">
        <f t="shared" si="0"/>
        <v>9.9860290460631038</v>
      </c>
      <c r="G29" s="8">
        <f t="shared" si="1"/>
        <v>2.483457327783007</v>
      </c>
      <c r="H29">
        <f t="shared" si="2"/>
        <v>2150.5482995760126</v>
      </c>
    </row>
    <row r="30" spans="1:8">
      <c r="A30" s="17"/>
      <c r="B30" t="s">
        <v>56</v>
      </c>
      <c r="C30" t="s">
        <v>27</v>
      </c>
      <c r="D30" t="str">
        <f>[1]weighing!J30</f>
        <v>Blank</v>
      </c>
      <c r="E30" s="8">
        <f>[1]weighing!M30</f>
        <v>4.0123764846790948</v>
      </c>
      <c r="F30" t="str">
        <f t="shared" si="0"/>
        <v>Blank</v>
      </c>
      <c r="G30" s="8" t="str">
        <f t="shared" si="1"/>
        <v>Blank</v>
      </c>
      <c r="H30" t="str">
        <f t="shared" si="2"/>
        <v>Blank</v>
      </c>
    </row>
    <row r="31" spans="1:8">
      <c r="A31" s="17"/>
      <c r="B31" t="s">
        <v>57</v>
      </c>
      <c r="C31" t="s">
        <v>27</v>
      </c>
      <c r="D31" t="str">
        <f>[1]weighing!J31</f>
        <v>Blank</v>
      </c>
      <c r="E31" s="8">
        <f>[1]weighing!M31</f>
        <v>4.0123764846791232</v>
      </c>
      <c r="F31" t="str">
        <f t="shared" si="0"/>
        <v>Blank</v>
      </c>
      <c r="G31" s="8" t="str">
        <f t="shared" si="1"/>
        <v>Blank</v>
      </c>
      <c r="H31" t="str">
        <f>IF(G31="Blank","Blank",((D31/(0.0000007455*G31))*0.00000003976)/(E31*0.000001))</f>
        <v>Blank</v>
      </c>
    </row>
    <row r="32" spans="1:8">
      <c r="A32" s="17" t="s">
        <v>58</v>
      </c>
      <c r="B32" t="s">
        <v>59</v>
      </c>
      <c r="C32" t="s">
        <v>21</v>
      </c>
      <c r="D32">
        <f>[1]weighing!J32</f>
        <v>0.39939999999999998</v>
      </c>
      <c r="E32" s="8">
        <f>[1]weighing!M32</f>
        <v>4.011976047904227</v>
      </c>
      <c r="F32">
        <f t="shared" si="0"/>
        <v>10.04500763120738</v>
      </c>
      <c r="G32" s="8">
        <f t="shared" si="1"/>
        <v>2.5011489330426047</v>
      </c>
      <c r="H32">
        <f t="shared" si="2"/>
        <v>2122.7991447360605</v>
      </c>
    </row>
    <row r="33" spans="1:8">
      <c r="A33" s="17"/>
      <c r="B33" t="s">
        <v>60</v>
      </c>
      <c r="C33" t="s">
        <v>21</v>
      </c>
      <c r="D33">
        <f>[1]weighing!J33</f>
        <v>0.39950000000000002</v>
      </c>
      <c r="E33" s="8">
        <f>[1]weighing!M33</f>
        <v>4.0019960079840189</v>
      </c>
      <c r="F33">
        <f t="shared" si="0"/>
        <v>10.017511909847356</v>
      </c>
      <c r="G33" s="8">
        <f t="shared" si="1"/>
        <v>2.5011489330426047</v>
      </c>
      <c r="H33">
        <f t="shared" si="2"/>
        <v>2128.6257306500315</v>
      </c>
    </row>
    <row r="34" spans="1:8">
      <c r="A34" s="17"/>
      <c r="B34" t="s">
        <v>61</v>
      </c>
      <c r="C34" t="s">
        <v>21</v>
      </c>
      <c r="D34">
        <f>[1]weighing!J34</f>
        <v>0.39979999999999999</v>
      </c>
      <c r="E34" s="8">
        <f>[1]weighing!M34</f>
        <v>4.0119760479041702</v>
      </c>
      <c r="F34">
        <f t="shared" si="0"/>
        <v>10.034957598559705</v>
      </c>
      <c r="G34" s="8">
        <f t="shared" si="1"/>
        <v>2.5011489330426047</v>
      </c>
      <c r="H34">
        <f t="shared" si="2"/>
        <v>2124.9251328630171</v>
      </c>
    </row>
    <row r="35" spans="1:8">
      <c r="A35" s="17"/>
      <c r="B35" t="s">
        <v>62</v>
      </c>
      <c r="C35" t="s">
        <v>27</v>
      </c>
      <c r="D35" t="str">
        <f>[1]weighing!J35</f>
        <v>Blank</v>
      </c>
      <c r="E35" s="8">
        <f>[1]weighing!M35</f>
        <v>4.0119760479041702</v>
      </c>
      <c r="F35" t="str">
        <f t="shared" si="0"/>
        <v>Blank</v>
      </c>
      <c r="G35" s="8" t="str">
        <f t="shared" si="1"/>
        <v>Blank</v>
      </c>
      <c r="H35" t="str">
        <f t="shared" ref="H35:H41" si="3">IF(D35="1.0Li01",2.51,IF(D35="1.0Li02",2.48,IF(D35="1.5Li01", 2.55, IF(D35="1.5Li02", 2.49,"Blank"))))</f>
        <v>Blank</v>
      </c>
    </row>
    <row r="36" spans="1:8">
      <c r="A36" s="17"/>
      <c r="B36" t="s">
        <v>63</v>
      </c>
      <c r="C36" t="s">
        <v>27</v>
      </c>
      <c r="D36" t="str">
        <f>[1]weighing!J36</f>
        <v>Blank</v>
      </c>
      <c r="E36" s="8">
        <f>[1]weighing!M36</f>
        <v>4.0019960079840189</v>
      </c>
      <c r="F36" t="str">
        <f t="shared" si="0"/>
        <v>Blank</v>
      </c>
      <c r="G36" s="8" t="str">
        <f t="shared" si="1"/>
        <v>Blank</v>
      </c>
      <c r="H36" t="str">
        <f t="shared" si="3"/>
        <v>Blank</v>
      </c>
    </row>
    <row r="37" spans="1:8">
      <c r="A37" s="17"/>
      <c r="B37" t="s">
        <v>64</v>
      </c>
      <c r="C37" t="s">
        <v>30</v>
      </c>
      <c r="D37">
        <f>[1]weighing!J37</f>
        <v>0.39989999999999998</v>
      </c>
      <c r="E37" s="8">
        <f>[1]weighing!M37</f>
        <v>3.9920159680638676</v>
      </c>
      <c r="F37">
        <f t="shared" si="0"/>
        <v>9.9825355540481819</v>
      </c>
      <c r="G37" s="8">
        <f t="shared" si="1"/>
        <v>2.483457327783007</v>
      </c>
      <c r="H37">
        <f t="shared" si="2"/>
        <v>2151.3009062931733</v>
      </c>
    </row>
    <row r="38" spans="1:8">
      <c r="A38" s="17"/>
      <c r="B38" t="s">
        <v>65</v>
      </c>
      <c r="C38" t="s">
        <v>30</v>
      </c>
      <c r="D38">
        <f>[1]weighing!J38</f>
        <v>0.39979999999999999</v>
      </c>
      <c r="E38" s="8">
        <f>[1]weighing!M38</f>
        <v>4.0019960079840189</v>
      </c>
      <c r="F38">
        <f t="shared" si="0"/>
        <v>10.009995017468782</v>
      </c>
      <c r="G38" s="8">
        <f t="shared" si="1"/>
        <v>2.483457327783007</v>
      </c>
      <c r="H38">
        <f t="shared" si="2"/>
        <v>2145.3994479567837</v>
      </c>
    </row>
    <row r="39" spans="1:8">
      <c r="A39" s="17"/>
      <c r="B39" t="s">
        <v>66</v>
      </c>
      <c r="C39" t="s">
        <v>30</v>
      </c>
      <c r="D39">
        <f>[1]weighing!J39</f>
        <v>0.3997</v>
      </c>
      <c r="E39" s="8">
        <f>[1]weighing!M39</f>
        <v>4.0019960079840189</v>
      </c>
      <c r="F39">
        <f t="shared" si="0"/>
        <v>10.012499394505927</v>
      </c>
      <c r="G39" s="8">
        <f t="shared" si="1"/>
        <v>2.483457327783007</v>
      </c>
      <c r="H39">
        <f t="shared" si="2"/>
        <v>2144.862829785709</v>
      </c>
    </row>
    <row r="40" spans="1:8">
      <c r="A40" s="17"/>
      <c r="B40" t="s">
        <v>67</v>
      </c>
      <c r="C40" t="s">
        <v>27</v>
      </c>
      <c r="D40" t="str">
        <f>[1]weighing!J40</f>
        <v>Blank</v>
      </c>
      <c r="E40" s="8">
        <f>[1]weighing!M40</f>
        <v>4.0119760479041702</v>
      </c>
      <c r="F40" t="str">
        <f t="shared" si="0"/>
        <v>Blank</v>
      </c>
      <c r="G40" s="8" t="str">
        <f t="shared" si="1"/>
        <v>Blank</v>
      </c>
      <c r="H40" t="str">
        <f t="shared" si="3"/>
        <v>Blank</v>
      </c>
    </row>
    <row r="41" spans="1:8">
      <c r="A41" s="17"/>
      <c r="B41" t="s">
        <v>68</v>
      </c>
      <c r="C41" t="s">
        <v>27</v>
      </c>
      <c r="D41" t="str">
        <f>[1]weighing!J41</f>
        <v>Blank</v>
      </c>
      <c r="E41" s="8">
        <f>[1]weighing!M41</f>
        <v>4.0119760479041986</v>
      </c>
      <c r="F41" t="str">
        <f t="shared" si="0"/>
        <v>Blank</v>
      </c>
      <c r="G41" s="8" t="str">
        <f t="shared" si="1"/>
        <v>Blank</v>
      </c>
      <c r="H41" t="str">
        <f t="shared" si="3"/>
        <v>Blank</v>
      </c>
    </row>
    <row r="42" spans="1:8">
      <c r="A42" s="5" t="s">
        <v>18</v>
      </c>
      <c r="B42" t="s">
        <v>69</v>
      </c>
      <c r="C42" t="s">
        <v>70</v>
      </c>
      <c r="D42">
        <v>0.3997</v>
      </c>
      <c r="E42" s="8">
        <f>[1]weighing!M42</f>
        <v>4.0099999999999909</v>
      </c>
      <c r="F42">
        <f t="shared" si="0"/>
        <v>10.032524393294949</v>
      </c>
      <c r="G42" s="8">
        <f t="shared" si="1"/>
        <v>2.5056519550194429</v>
      </c>
      <c r="H42">
        <f t="shared" si="2"/>
        <v>2121.620768048338</v>
      </c>
    </row>
    <row r="43" spans="1:8">
      <c r="A43" s="5"/>
      <c r="B43" t="s">
        <v>71</v>
      </c>
      <c r="C43" t="s">
        <v>70</v>
      </c>
      <c r="D43">
        <v>0.39910000000000001</v>
      </c>
      <c r="E43" s="8">
        <f>[1]weighing!M43</f>
        <v>4.0099999999999909</v>
      </c>
      <c r="F43">
        <f t="shared" si="0"/>
        <v>10.047607116011001</v>
      </c>
      <c r="G43" s="8">
        <f t="shared" si="1"/>
        <v>2.5056519550194429</v>
      </c>
      <c r="H43">
        <f t="shared" si="2"/>
        <v>2118.4359482814407</v>
      </c>
    </row>
    <row r="44" spans="1:8">
      <c r="A44" s="5"/>
      <c r="B44" t="s">
        <v>72</v>
      </c>
      <c r="C44" t="s">
        <v>70</v>
      </c>
      <c r="D44">
        <v>0.3992</v>
      </c>
      <c r="E44" s="8">
        <f>[1]weighing!M44</f>
        <v>3.9800000000000182</v>
      </c>
      <c r="F44">
        <f t="shared" si="0"/>
        <v>9.9699398797595649</v>
      </c>
      <c r="G44" s="8">
        <f t="shared" si="1"/>
        <v>2.5056519550194429</v>
      </c>
      <c r="H44">
        <f>IF(G44="Blank","Blank",((D44/(0.0000007455*G44))*0.00000003976)/(E44*0.000001))</f>
        <v>2134.9388627686922</v>
      </c>
    </row>
    <row r="45" spans="1:8">
      <c r="A45" s="5"/>
      <c r="B45" t="s">
        <v>73</v>
      </c>
      <c r="C45" t="s">
        <v>27</v>
      </c>
      <c r="D45" t="s">
        <v>27</v>
      </c>
      <c r="E45" s="8">
        <f>[1]weighing!M45</f>
        <v>3.9899999999999807</v>
      </c>
      <c r="F45" t="str">
        <f t="shared" si="0"/>
        <v>Blank</v>
      </c>
      <c r="G45" s="8" t="str">
        <f t="shared" si="1"/>
        <v>Blank</v>
      </c>
      <c r="H45" t="str">
        <f t="shared" si="2"/>
        <v>Blank</v>
      </c>
    </row>
    <row r="46" spans="1:8">
      <c r="A46" s="5"/>
      <c r="B46" t="s">
        <v>74</v>
      </c>
      <c r="C46" t="s">
        <v>27</v>
      </c>
      <c r="D46" t="s">
        <v>27</v>
      </c>
      <c r="E46" s="8">
        <f>[1]weighing!M46</f>
        <v>3.9799999999999898</v>
      </c>
      <c r="F46" t="str">
        <f t="shared" si="0"/>
        <v>Blank</v>
      </c>
      <c r="G46" s="8" t="str">
        <f t="shared" si="1"/>
        <v>Blank</v>
      </c>
      <c r="H46" t="str">
        <f t="shared" si="2"/>
        <v>Blank</v>
      </c>
    </row>
    <row r="47" spans="1:8">
      <c r="A47" s="5"/>
      <c r="B47" t="s">
        <v>75</v>
      </c>
      <c r="C47" t="s">
        <v>76</v>
      </c>
      <c r="D47">
        <v>0.39850000000000002</v>
      </c>
      <c r="E47" s="8">
        <f>[1]weighing!M47</f>
        <v>4</v>
      </c>
      <c r="F47">
        <f t="shared" si="0"/>
        <v>10.037641154328732</v>
      </c>
      <c r="G47" s="8">
        <f t="shared" si="1"/>
        <v>2.4803956443861597</v>
      </c>
      <c r="H47">
        <f>IF(G47="Blank","Blank",((D47/(0.0000007455*G47))*0.00000003976)/(E47*0.000001))</f>
        <v>2142.1313754355747</v>
      </c>
    </row>
    <row r="48" spans="1:8">
      <c r="A48" s="5"/>
      <c r="B48" t="s">
        <v>77</v>
      </c>
      <c r="C48" t="s">
        <v>76</v>
      </c>
      <c r="D48">
        <v>0.39950000000000002</v>
      </c>
      <c r="E48" s="8">
        <f>[1]weighing!M48</f>
        <v>3.9900000000000091</v>
      </c>
      <c r="F48">
        <f t="shared" si="0"/>
        <v>9.9874843554443284</v>
      </c>
      <c r="G48" s="8">
        <f t="shared" si="1"/>
        <v>2.4803956443861597</v>
      </c>
      <c r="H48">
        <f t="shared" si="2"/>
        <v>2152.889084660233</v>
      </c>
    </row>
    <row r="49" spans="1:8">
      <c r="A49" s="5"/>
      <c r="B49" t="s">
        <v>78</v>
      </c>
      <c r="C49" t="s">
        <v>76</v>
      </c>
      <c r="D49">
        <v>0.39989999999999998</v>
      </c>
      <c r="E49" s="8">
        <f>[1]weighing!M49</f>
        <v>3.9899999999999807</v>
      </c>
      <c r="F49">
        <f t="shared" si="0"/>
        <v>9.9774943735933501</v>
      </c>
      <c r="G49" s="8">
        <f t="shared" si="1"/>
        <v>2.4803956443861597</v>
      </c>
      <c r="H49">
        <f t="shared" si="2"/>
        <v>2155.0446682243642</v>
      </c>
    </row>
    <row r="50" spans="1:8">
      <c r="A50" s="5"/>
      <c r="B50" t="s">
        <v>79</v>
      </c>
      <c r="C50" t="s">
        <v>27</v>
      </c>
      <c r="D50" t="s">
        <v>27</v>
      </c>
      <c r="E50" s="8">
        <f>[1]weighing!M50</f>
        <v>4.0099999999999909</v>
      </c>
      <c r="F50" t="str">
        <f t="shared" si="0"/>
        <v>Blank</v>
      </c>
      <c r="G50" s="8" t="str">
        <f t="shared" si="1"/>
        <v>Blank</v>
      </c>
      <c r="H50" t="str">
        <f t="shared" si="2"/>
        <v>Blank</v>
      </c>
    </row>
    <row r="51" spans="1:8">
      <c r="A51" s="5"/>
      <c r="B51" t="s">
        <v>80</v>
      </c>
      <c r="C51" t="s">
        <v>27</v>
      </c>
      <c r="D51" t="s">
        <v>27</v>
      </c>
      <c r="E51" s="8">
        <f>[1]weighing!M51</f>
        <v>3.9799999999999898</v>
      </c>
      <c r="F51" t="str">
        <f t="shared" si="0"/>
        <v>Blank</v>
      </c>
      <c r="G51" s="8" t="str">
        <f t="shared" si="1"/>
        <v>Blank</v>
      </c>
      <c r="H51" t="str">
        <f t="shared" si="2"/>
        <v>Blank</v>
      </c>
    </row>
    <row r="52" spans="1:8">
      <c r="A52" s="17" t="s">
        <v>35</v>
      </c>
      <c r="B52" t="s">
        <v>82</v>
      </c>
      <c r="C52" t="s">
        <v>70</v>
      </c>
      <c r="D52">
        <f>[1]weighing!J52</f>
        <v>0.3997</v>
      </c>
      <c r="E52" s="8">
        <f>[1]weighing!M52</f>
        <v>3.9880656389855744</v>
      </c>
      <c r="F52">
        <f t="shared" si="0"/>
        <v>9.9776473329636595</v>
      </c>
      <c r="G52" s="8">
        <f t="shared" si="1"/>
        <v>2.5056519550194429</v>
      </c>
      <c r="H52">
        <f t="shared" si="2"/>
        <v>2133.2896822726016</v>
      </c>
    </row>
    <row r="53" spans="1:8">
      <c r="A53" s="17"/>
      <c r="B53" t="s">
        <v>83</v>
      </c>
      <c r="C53" t="s">
        <v>70</v>
      </c>
      <c r="D53">
        <f>[1]weighing!J53</f>
        <v>0.39989999999999998</v>
      </c>
      <c r="E53" s="8">
        <f>[1]weighing!M53</f>
        <v>3.9880656389855744</v>
      </c>
      <c r="F53">
        <f t="shared" si="0"/>
        <v>9.9726572617793821</v>
      </c>
      <c r="G53" s="8">
        <f t="shared" si="1"/>
        <v>2.5056519550194429</v>
      </c>
      <c r="H53">
        <f>IF(G53="Blank","Blank",((D53/(0.0000007455*G53))*0.00000003976)/(E53*0.000001))</f>
        <v>2134.3571276978068</v>
      </c>
    </row>
    <row r="54" spans="1:8">
      <c r="A54" s="17"/>
      <c r="B54" t="s">
        <v>84</v>
      </c>
      <c r="C54" t="s">
        <v>70</v>
      </c>
      <c r="D54">
        <f>[1]weighing!J54</f>
        <v>0.39950000000000002</v>
      </c>
      <c r="E54" s="8">
        <f>[1]weighing!M54</f>
        <v>3.9980109398309196</v>
      </c>
      <c r="F54">
        <f t="shared" si="0"/>
        <v>10.007536770540474</v>
      </c>
      <c r="G54" s="8">
        <f t="shared" si="1"/>
        <v>2.5056519550194429</v>
      </c>
      <c r="H54">
        <f t="shared" si="2"/>
        <v>2126.918201432356</v>
      </c>
    </row>
    <row r="55" spans="1:8">
      <c r="A55" s="17"/>
      <c r="B55" t="s">
        <v>85</v>
      </c>
      <c r="C55" t="s">
        <v>27</v>
      </c>
      <c r="D55" t="str">
        <f>[1]weighing!J55</f>
        <v>Blank</v>
      </c>
      <c r="E55" s="8">
        <f>[1]weighing!M55</f>
        <v>3.9880656389855744</v>
      </c>
      <c r="F55" t="str">
        <f t="shared" si="0"/>
        <v>Blank</v>
      </c>
      <c r="G55" s="8" t="str">
        <f t="shared" si="1"/>
        <v>Blank</v>
      </c>
      <c r="H55" t="str">
        <f t="shared" si="2"/>
        <v>Blank</v>
      </c>
    </row>
    <row r="56" spans="1:8">
      <c r="A56" s="17"/>
      <c r="B56" t="s">
        <v>86</v>
      </c>
      <c r="C56" t="s">
        <v>27</v>
      </c>
      <c r="D56" t="str">
        <f>[1]weighing!J56</f>
        <v>Blank</v>
      </c>
      <c r="E56" s="8">
        <f>[1]weighing!M56</f>
        <v>3.998010939830948</v>
      </c>
      <c r="F56" t="str">
        <f t="shared" si="0"/>
        <v>Blank</v>
      </c>
      <c r="G56" s="8" t="str">
        <f t="shared" si="1"/>
        <v>Blank</v>
      </c>
      <c r="H56" t="str">
        <f t="shared" si="2"/>
        <v>Blank</v>
      </c>
    </row>
    <row r="57" spans="1:8">
      <c r="A57" s="17"/>
      <c r="B57" t="s">
        <v>87</v>
      </c>
      <c r="C57" t="s">
        <v>76</v>
      </c>
      <c r="D57">
        <f>[1]weighing!J57</f>
        <v>0.39939999999999998</v>
      </c>
      <c r="E57" s="8">
        <f>[1]weighing!M57</f>
        <v>3.998010939830948</v>
      </c>
      <c r="F57">
        <f t="shared" si="0"/>
        <v>10.010042413197166</v>
      </c>
      <c r="G57" s="8">
        <f t="shared" si="1"/>
        <v>2.4803956443861597</v>
      </c>
      <c r="H57">
        <f t="shared" si="2"/>
        <v>2148.0374572342407</v>
      </c>
    </row>
    <row r="58" spans="1:8">
      <c r="A58" s="17"/>
      <c r="B58" t="s">
        <v>88</v>
      </c>
      <c r="C58" t="s">
        <v>76</v>
      </c>
      <c r="D58">
        <f>[1]weighing!J58</f>
        <v>0.39989999999999998</v>
      </c>
      <c r="E58" s="8">
        <f>[1]weighing!M58</f>
        <v>3.9880656389856028</v>
      </c>
      <c r="F58">
        <f t="shared" si="0"/>
        <v>9.9726572617794531</v>
      </c>
      <c r="G58" s="8">
        <f t="shared" si="1"/>
        <v>2.4803956443861597</v>
      </c>
      <c r="H58">
        <f t="shared" si="2"/>
        <v>2156.0899455010731</v>
      </c>
    </row>
    <row r="59" spans="1:8">
      <c r="A59" s="17"/>
      <c r="B59" t="s">
        <v>89</v>
      </c>
      <c r="C59" t="s">
        <v>76</v>
      </c>
      <c r="D59">
        <f>[1]weighing!J59</f>
        <v>0.39989999999999998</v>
      </c>
      <c r="E59" s="8">
        <f>[1]weighing!M59</f>
        <v>3.9980109398309196</v>
      </c>
      <c r="F59">
        <f t="shared" si="0"/>
        <v>9.9975267312601144</v>
      </c>
      <c r="G59" s="8">
        <f t="shared" si="1"/>
        <v>2.4803956443861597</v>
      </c>
      <c r="H59">
        <f t="shared" si="2"/>
        <v>2150.7265376764617</v>
      </c>
    </row>
    <row r="60" spans="1:8">
      <c r="A60" s="17"/>
      <c r="B60" t="s">
        <v>90</v>
      </c>
      <c r="C60" t="s">
        <v>27</v>
      </c>
      <c r="D60" t="str">
        <f>[1]weighing!J60</f>
        <v>Blank</v>
      </c>
      <c r="E60" s="8">
        <f>[1]weighing!M60</f>
        <v>3.9980109398309196</v>
      </c>
      <c r="F60" t="str">
        <f t="shared" si="0"/>
        <v>Blank</v>
      </c>
      <c r="G60" s="8" t="str">
        <f t="shared" si="1"/>
        <v>Blank</v>
      </c>
      <c r="H60" t="str">
        <f t="shared" si="2"/>
        <v>Blank</v>
      </c>
    </row>
    <row r="61" spans="1:8">
      <c r="A61" s="17"/>
      <c r="B61" t="s">
        <v>91</v>
      </c>
      <c r="C61" t="s">
        <v>27</v>
      </c>
      <c r="D61" t="str">
        <f>[1]weighing!J61</f>
        <v>Blank</v>
      </c>
      <c r="E61" s="8">
        <f>[1]weighing!M61</f>
        <v>4.0079562406762932</v>
      </c>
      <c r="F61" t="str">
        <f t="shared" si="0"/>
        <v>Blank</v>
      </c>
      <c r="G61" s="8" t="str">
        <f t="shared" si="1"/>
        <v>Blank</v>
      </c>
      <c r="H61" t="str">
        <f t="shared" si="2"/>
        <v>Blank</v>
      </c>
    </row>
    <row r="62" spans="1:8">
      <c r="A62" s="17" t="s">
        <v>47</v>
      </c>
      <c r="B62" t="s">
        <v>92</v>
      </c>
      <c r="C62" t="s">
        <v>70</v>
      </c>
      <c r="D62">
        <f>[1]weighing!J62</f>
        <v>0.39960000000000001</v>
      </c>
      <c r="E62" s="8">
        <f>[1]weighing!M62</f>
        <v>4.0123764846790948</v>
      </c>
      <c r="F62">
        <f t="shared" si="0"/>
        <v>10.040982193891628</v>
      </c>
      <c r="G62" s="8">
        <f t="shared" si="1"/>
        <v>2.5056519550194429</v>
      </c>
      <c r="H62">
        <f t="shared" si="2"/>
        <v>2119.8336674389129</v>
      </c>
    </row>
    <row r="63" spans="1:8">
      <c r="A63" s="17"/>
      <c r="B63" t="s">
        <v>93</v>
      </c>
      <c r="C63" t="s">
        <v>70</v>
      </c>
      <c r="D63">
        <f>[1]weighing!J63</f>
        <v>0.39910000000000001</v>
      </c>
      <c r="E63" s="8">
        <f>[1]weighing!M63</f>
        <v>4.0123764846790948</v>
      </c>
      <c r="F63">
        <f t="shared" si="0"/>
        <v>10.053561725580293</v>
      </c>
      <c r="G63" s="8">
        <f t="shared" si="1"/>
        <v>2.5056519550194429</v>
      </c>
      <c r="H63">
        <f t="shared" si="2"/>
        <v>2117.1812229100856</v>
      </c>
    </row>
    <row r="64" spans="1:8">
      <c r="A64" s="17"/>
      <c r="B64" t="s">
        <v>94</v>
      </c>
      <c r="C64" t="s">
        <v>70</v>
      </c>
      <c r="D64">
        <f>[1]weighing!J64</f>
        <v>0.39950000000000002</v>
      </c>
      <c r="E64" s="8">
        <f>[1]weighing!M64</f>
        <v>4.0023954486475759</v>
      </c>
      <c r="F64">
        <f t="shared" si="0"/>
        <v>10.018511761320591</v>
      </c>
      <c r="G64" s="8">
        <f t="shared" si="1"/>
        <v>2.5056519550194429</v>
      </c>
      <c r="H64">
        <f t="shared" si="2"/>
        <v>2124.588223866137</v>
      </c>
    </row>
    <row r="65" spans="1:8">
      <c r="A65" s="17"/>
      <c r="B65" t="s">
        <v>95</v>
      </c>
      <c r="C65" t="s">
        <v>27</v>
      </c>
      <c r="D65" t="str">
        <f>[1]weighing!J65</f>
        <v>Blank</v>
      </c>
      <c r="E65" s="8">
        <f>[1]weighing!M65</f>
        <v>4.0023954486476043</v>
      </c>
      <c r="F65" t="str">
        <f t="shared" si="0"/>
        <v>Blank</v>
      </c>
      <c r="G65" s="8" t="str">
        <f t="shared" si="1"/>
        <v>Blank</v>
      </c>
      <c r="H65" t="str">
        <f t="shared" si="2"/>
        <v>Blank</v>
      </c>
    </row>
    <row r="66" spans="1:8">
      <c r="A66" s="17"/>
      <c r="B66" t="s">
        <v>96</v>
      </c>
      <c r="C66" t="s">
        <v>27</v>
      </c>
      <c r="D66" t="str">
        <f>[1]weighing!J66</f>
        <v>Blank</v>
      </c>
      <c r="E66" s="8">
        <f>[1]weighing!M66</f>
        <v>4.0023954486475475</v>
      </c>
      <c r="F66" t="str">
        <f t="shared" si="0"/>
        <v>Blank</v>
      </c>
      <c r="G66" s="8" t="str">
        <f t="shared" si="1"/>
        <v>Blank</v>
      </c>
      <c r="H66" t="str">
        <f t="shared" si="2"/>
        <v>Blank</v>
      </c>
    </row>
    <row r="67" spans="1:8">
      <c r="A67" s="17"/>
      <c r="B67" t="s">
        <v>97</v>
      </c>
      <c r="C67" t="s">
        <v>76</v>
      </c>
      <c r="D67">
        <f>[1]weighing!J67</f>
        <v>0.39989999999999998</v>
      </c>
      <c r="E67" s="8">
        <f>[1]weighing!M67</f>
        <v>4.0023954486476043</v>
      </c>
      <c r="F67">
        <f t="shared" ref="F67:F81" si="4">IF(C67="Blank","Blank",E67/D67)</f>
        <v>10.008490744305087</v>
      </c>
      <c r="G67" s="8">
        <f t="shared" ref="G67:G81" si="5">IF(C67="0.4Li-ISG01",$O$2,IF(C67="0.4Li-ISG02",$O$3,IF(C67="0.9Li-ISG01", $O$4, IF(C67="0.9Li-ISG02", $O$5,"Blank"))))</f>
        <v>2.4803956443861597</v>
      </c>
      <c r="H67">
        <f t="shared" si="2"/>
        <v>2148.3704787643151</v>
      </c>
    </row>
    <row r="68" spans="1:8">
      <c r="A68" s="17"/>
      <c r="B68" t="s">
        <v>98</v>
      </c>
      <c r="C68" t="s">
        <v>76</v>
      </c>
      <c r="D68">
        <f>[1]weighing!J68</f>
        <v>0.39929999999999999</v>
      </c>
      <c r="E68" s="8">
        <f>[1]weighing!M68</f>
        <v>4.0023954486475475</v>
      </c>
      <c r="F68">
        <f t="shared" si="4"/>
        <v>10.023529798766711</v>
      </c>
      <c r="G68" s="8">
        <f t="shared" si="5"/>
        <v>2.4803956443861597</v>
      </c>
      <c r="H68">
        <f t="shared" si="2"/>
        <v>2145.14711720581</v>
      </c>
    </row>
    <row r="69" spans="1:8">
      <c r="A69" s="17"/>
      <c r="B69" t="s">
        <v>99</v>
      </c>
      <c r="C69" t="s">
        <v>76</v>
      </c>
      <c r="D69">
        <f>[1]weighing!J69</f>
        <v>0.39900000000000002</v>
      </c>
      <c r="E69" s="8">
        <f>[1]weighing!M69</f>
        <v>4.0023954486475759</v>
      </c>
      <c r="F69">
        <f t="shared" si="4"/>
        <v>10.031066287337282</v>
      </c>
      <c r="G69" s="8">
        <f t="shared" si="5"/>
        <v>2.4803956443861597</v>
      </c>
      <c r="H69">
        <f t="shared" si="2"/>
        <v>2143.5354364265268</v>
      </c>
    </row>
    <row r="70" spans="1:8">
      <c r="A70" s="17"/>
      <c r="B70" t="s">
        <v>100</v>
      </c>
      <c r="C70" t="s">
        <v>27</v>
      </c>
      <c r="D70" t="str">
        <f>[1]weighing!J70</f>
        <v>Blank</v>
      </c>
      <c r="E70" s="8">
        <f>[1]weighing!M70</f>
        <v>4.0023954486475759</v>
      </c>
      <c r="F70" t="str">
        <f t="shared" si="4"/>
        <v>Blank</v>
      </c>
      <c r="G70" s="8" t="str">
        <f t="shared" si="5"/>
        <v>Blank</v>
      </c>
      <c r="H70" t="str">
        <f t="shared" ref="H70:H81" si="6">IF(G70="Blank","Blank",((D70/(0.0000007455*G70))*0.00000003976)/(E70*0.000001))</f>
        <v>Blank</v>
      </c>
    </row>
    <row r="71" spans="1:8">
      <c r="A71" s="17"/>
      <c r="B71" t="s">
        <v>101</v>
      </c>
      <c r="C71" t="s">
        <v>27</v>
      </c>
      <c r="D71" t="str">
        <f>[1]weighing!J71</f>
        <v>Blank</v>
      </c>
      <c r="E71" s="8">
        <f>[1]weighing!M71</f>
        <v>4.0023954486475475</v>
      </c>
      <c r="F71" t="str">
        <f t="shared" si="4"/>
        <v>Blank</v>
      </c>
      <c r="G71" s="8" t="str">
        <f t="shared" si="5"/>
        <v>Blank</v>
      </c>
      <c r="H71" t="str">
        <f t="shared" si="6"/>
        <v>Blank</v>
      </c>
    </row>
    <row r="72" spans="1:8">
      <c r="A72" s="17" t="s">
        <v>58</v>
      </c>
      <c r="B72" t="s">
        <v>102</v>
      </c>
      <c r="C72" t="s">
        <v>70</v>
      </c>
      <c r="D72">
        <f>[1]weighing!J72</f>
        <v>0.3997</v>
      </c>
      <c r="E72" s="8">
        <f>[1]weighing!M72</f>
        <v>4.0119760479041986</v>
      </c>
      <c r="F72">
        <f t="shared" si="4"/>
        <v>10.037468220926192</v>
      </c>
      <c r="G72" s="8">
        <f t="shared" si="5"/>
        <v>2.5056519550194429</v>
      </c>
      <c r="H72">
        <f t="shared" si="6"/>
        <v>2120.5757906551116</v>
      </c>
    </row>
    <row r="73" spans="1:8">
      <c r="A73" s="17"/>
      <c r="B73" t="s">
        <v>103</v>
      </c>
      <c r="C73" t="s">
        <v>70</v>
      </c>
      <c r="D73">
        <f>[1]weighing!J73</f>
        <v>0.39950000000000002</v>
      </c>
      <c r="E73" s="8">
        <f>[1]weighing!M73</f>
        <v>4.0119760479041702</v>
      </c>
      <c r="F73">
        <f t="shared" si="4"/>
        <v>10.042493236305807</v>
      </c>
      <c r="G73" s="8">
        <f t="shared" si="5"/>
        <v>2.5056519550194429</v>
      </c>
      <c r="H73">
        <f t="shared" si="6"/>
        <v>2119.5147069470181</v>
      </c>
    </row>
    <row r="74" spans="1:8">
      <c r="A74" s="17"/>
      <c r="B74" t="s">
        <v>104</v>
      </c>
      <c r="C74" t="s">
        <v>70</v>
      </c>
      <c r="D74">
        <f>[1]weighing!J74</f>
        <v>0.39950000000000002</v>
      </c>
      <c r="E74" s="8">
        <f>[1]weighing!M74</f>
        <v>4.0019960079840189</v>
      </c>
      <c r="F74">
        <f t="shared" si="4"/>
        <v>10.017511909847356</v>
      </c>
      <c r="G74" s="8">
        <f t="shared" si="5"/>
        <v>2.5056519550194429</v>
      </c>
      <c r="H74">
        <f t="shared" si="6"/>
        <v>2124.8002797822928</v>
      </c>
    </row>
    <row r="75" spans="1:8">
      <c r="A75" s="17"/>
      <c r="B75" t="s">
        <v>105</v>
      </c>
      <c r="C75" t="s">
        <v>27</v>
      </c>
      <c r="D75" t="str">
        <f>[1]weighing!J75</f>
        <v>Blank</v>
      </c>
      <c r="E75" s="8">
        <f>[1]weighing!M75</f>
        <v>4.0119760479041986</v>
      </c>
      <c r="F75" t="str">
        <f t="shared" si="4"/>
        <v>Blank</v>
      </c>
      <c r="G75" s="8" t="str">
        <f t="shared" si="5"/>
        <v>Blank</v>
      </c>
      <c r="H75" t="str">
        <f t="shared" ref="H75:H81" si="7">IF(D75="1.0Li01",2.51,IF(D75="1.0Li02",2.48,IF(D75="1.5Li01", 2.55, IF(D75="1.5Li02", 2.49,"Blank"))))</f>
        <v>Blank</v>
      </c>
    </row>
    <row r="76" spans="1:8">
      <c r="A76" s="17"/>
      <c r="B76" t="s">
        <v>106</v>
      </c>
      <c r="C76" t="s">
        <v>27</v>
      </c>
      <c r="D76" t="str">
        <f>[1]weighing!J76</f>
        <v>Blank</v>
      </c>
      <c r="E76" s="8">
        <f>[1]weighing!M76</f>
        <v>4.0019960079840189</v>
      </c>
      <c r="F76" t="str">
        <f t="shared" si="4"/>
        <v>Blank</v>
      </c>
      <c r="G76" s="8" t="str">
        <f t="shared" si="5"/>
        <v>Blank</v>
      </c>
      <c r="H76" t="str">
        <f t="shared" si="7"/>
        <v>Blank</v>
      </c>
    </row>
    <row r="77" spans="1:8">
      <c r="A77" s="17"/>
      <c r="B77" t="s">
        <v>107</v>
      </c>
      <c r="C77" t="s">
        <v>76</v>
      </c>
      <c r="D77">
        <f>[1]weighing!J77</f>
        <v>0.3997</v>
      </c>
      <c r="E77" s="8">
        <f>[1]weighing!M77</f>
        <v>4.0019960079840189</v>
      </c>
      <c r="F77">
        <f t="shared" si="4"/>
        <v>10.012499394505927</v>
      </c>
      <c r="G77" s="8">
        <f t="shared" si="5"/>
        <v>2.4803956443861597</v>
      </c>
      <c r="H77">
        <f t="shared" ref="H77:H79" si="8">IF(G77="Blank","Blank",((D77/(0.0000007455*G77))*0.00000003976)/(E77*0.000001))</f>
        <v>2147.510347301446</v>
      </c>
    </row>
    <row r="78" spans="1:8">
      <c r="A78" s="17"/>
      <c r="B78" t="s">
        <v>108</v>
      </c>
      <c r="C78" t="s">
        <v>76</v>
      </c>
      <c r="D78">
        <f>[1]weighing!J78</f>
        <v>0.39989999999999998</v>
      </c>
      <c r="E78" s="8">
        <f>[1]weighing!M78</f>
        <v>4.0019960079840473</v>
      </c>
      <c r="F78">
        <f t="shared" si="4"/>
        <v>10.007491892933352</v>
      </c>
      <c r="G78" s="8">
        <f t="shared" si="5"/>
        <v>2.4803956443861597</v>
      </c>
      <c r="H78">
        <f t="shared" si="8"/>
        <v>2148.5849083959024</v>
      </c>
    </row>
    <row r="79" spans="1:8">
      <c r="A79" s="17"/>
      <c r="B79" t="s">
        <v>109</v>
      </c>
      <c r="C79" t="s">
        <v>76</v>
      </c>
      <c r="D79">
        <f>[1]weighing!J79</f>
        <v>0.39989999999999998</v>
      </c>
      <c r="E79" s="8">
        <f>[1]weighing!M79</f>
        <v>4.0019960079840189</v>
      </c>
      <c r="F79">
        <f t="shared" si="4"/>
        <v>10.007491892933281</v>
      </c>
      <c r="G79" s="8">
        <f t="shared" si="5"/>
        <v>2.4803956443861597</v>
      </c>
      <c r="H79">
        <f t="shared" si="8"/>
        <v>2148.5849083959174</v>
      </c>
    </row>
    <row r="80" spans="1:8">
      <c r="A80" s="17"/>
      <c r="B80" t="s">
        <v>110</v>
      </c>
      <c r="C80" t="s">
        <v>27</v>
      </c>
      <c r="D80" t="str">
        <f>[1]weighing!J80</f>
        <v>Blank</v>
      </c>
      <c r="E80" s="8">
        <f>[1]weighing!M80</f>
        <v>4.0019960079840473</v>
      </c>
      <c r="F80" t="str">
        <f t="shared" si="4"/>
        <v>Blank</v>
      </c>
      <c r="G80" s="8" t="str">
        <f t="shared" si="5"/>
        <v>Blank</v>
      </c>
      <c r="H80" t="str">
        <f t="shared" si="7"/>
        <v>Blank</v>
      </c>
    </row>
    <row r="81" spans="1:8">
      <c r="A81" s="17"/>
      <c r="B81" t="s">
        <v>111</v>
      </c>
      <c r="C81" t="s">
        <v>27</v>
      </c>
      <c r="D81" t="str">
        <f>[1]weighing!J81</f>
        <v>Blank</v>
      </c>
      <c r="E81" s="8">
        <f>[1]weighing!M81</f>
        <v>4.0119760479041702</v>
      </c>
      <c r="F81" t="str">
        <f t="shared" si="4"/>
        <v>Blank</v>
      </c>
      <c r="G81" s="8" t="str">
        <f t="shared" si="5"/>
        <v>Blank</v>
      </c>
      <c r="H81" t="str">
        <f t="shared" si="7"/>
        <v>Blank</v>
      </c>
    </row>
  </sheetData>
  <mergeCells count="8">
    <mergeCell ref="A62:A71"/>
    <mergeCell ref="A72:A81"/>
    <mergeCell ref="A2:A11"/>
    <mergeCell ref="A12:A21"/>
    <mergeCell ref="A22:A31"/>
    <mergeCell ref="A32:A41"/>
    <mergeCell ref="A42:A51"/>
    <mergeCell ref="A52:A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6" sqref="E6"/>
    </sheetView>
  </sheetViews>
  <sheetFormatPr defaultRowHeight="15"/>
  <cols>
    <col min="2" max="2" width="13.42578125" customWidth="1"/>
    <col min="3" max="3" width="11.140625" customWidth="1"/>
    <col min="4" max="7" width="19.85546875" customWidth="1"/>
  </cols>
  <sheetData>
    <row r="1" spans="1:7" ht="39">
      <c r="A1" s="21" t="s">
        <v>122</v>
      </c>
      <c r="B1" s="21" t="s">
        <v>123</v>
      </c>
      <c r="C1" s="21" t="s">
        <v>124</v>
      </c>
      <c r="D1" s="21" t="s">
        <v>125</v>
      </c>
      <c r="E1" s="21" t="s">
        <v>126</v>
      </c>
      <c r="F1" s="21" t="s">
        <v>127</v>
      </c>
      <c r="G1" s="21" t="s">
        <v>128</v>
      </c>
    </row>
    <row r="2" spans="1:7">
      <c r="A2" s="22">
        <v>16</v>
      </c>
      <c r="B2" s="23" t="s">
        <v>21</v>
      </c>
      <c r="C2" s="23">
        <v>40</v>
      </c>
      <c r="D2" s="24">
        <v>42832.559027777781</v>
      </c>
      <c r="E2" s="24">
        <v>42942.458333333336</v>
      </c>
      <c r="F2" s="24">
        <v>42832.965277777781</v>
      </c>
      <c r="G2" s="24">
        <v>42942.461805555555</v>
      </c>
    </row>
    <row r="3" spans="1:7">
      <c r="A3" s="25"/>
      <c r="B3" s="23" t="s">
        <v>30</v>
      </c>
      <c r="C3" s="23">
        <v>40</v>
      </c>
      <c r="D3" s="24">
        <v>42832.559027777781</v>
      </c>
      <c r="E3" s="24">
        <v>42942.458333333336</v>
      </c>
      <c r="F3" s="24">
        <v>42832.965277777781</v>
      </c>
      <c r="G3" s="24">
        <v>42942.461805555555</v>
      </c>
    </row>
    <row r="4" spans="1:7">
      <c r="A4" s="25"/>
      <c r="B4" s="23" t="s">
        <v>70</v>
      </c>
      <c r="C4" s="23">
        <v>90</v>
      </c>
      <c r="D4" s="24">
        <v>42832.704861111109</v>
      </c>
      <c r="E4" s="24">
        <v>42942.625</v>
      </c>
      <c r="F4" s="24">
        <v>42832.965277777781</v>
      </c>
      <c r="G4" s="24">
        <v>42942.6875</v>
      </c>
    </row>
    <row r="5" spans="1:7">
      <c r="A5" s="26"/>
      <c r="B5" s="23" t="s">
        <v>76</v>
      </c>
      <c r="C5" s="23">
        <v>90</v>
      </c>
      <c r="D5" s="24">
        <v>42832.704861111109</v>
      </c>
      <c r="E5" s="24">
        <v>42942.625</v>
      </c>
      <c r="F5" s="24">
        <v>42832.965277777781</v>
      </c>
      <c r="G5" s="24">
        <v>42942.6875</v>
      </c>
    </row>
    <row r="6" spans="1:7">
      <c r="A6" s="22">
        <v>4</v>
      </c>
      <c r="B6" s="23" t="s">
        <v>21</v>
      </c>
      <c r="C6" s="23">
        <v>40</v>
      </c>
      <c r="D6" s="24">
        <v>42914.541666666664</v>
      </c>
      <c r="E6" s="24">
        <v>42942.458333333336</v>
      </c>
      <c r="F6" s="24">
        <v>42914.875</v>
      </c>
      <c r="G6" s="24">
        <v>42942.461805555555</v>
      </c>
    </row>
    <row r="7" spans="1:7">
      <c r="A7" s="25"/>
      <c r="B7" s="23" t="s">
        <v>30</v>
      </c>
      <c r="C7" s="23">
        <v>40</v>
      </c>
      <c r="D7" s="24">
        <v>42914.541666666664</v>
      </c>
      <c r="E7" s="24">
        <v>42942.458333333336</v>
      </c>
      <c r="F7" s="24">
        <v>42914.875</v>
      </c>
      <c r="G7" s="24">
        <v>42942.461805555555</v>
      </c>
    </row>
    <row r="8" spans="1:7">
      <c r="A8" s="25"/>
      <c r="B8" s="23" t="s">
        <v>70</v>
      </c>
      <c r="C8" s="23">
        <v>90</v>
      </c>
      <c r="D8" s="24">
        <v>42914.586805555555</v>
      </c>
      <c r="E8" s="24">
        <v>42942.625</v>
      </c>
      <c r="F8" s="24">
        <v>42914.875</v>
      </c>
      <c r="G8" s="24">
        <v>42942.6875</v>
      </c>
    </row>
    <row r="9" spans="1:7">
      <c r="A9" s="26"/>
      <c r="B9" s="23" t="s">
        <v>76</v>
      </c>
      <c r="C9" s="23">
        <v>90</v>
      </c>
      <c r="D9" s="24">
        <v>42914.586805555555</v>
      </c>
      <c r="E9" s="24">
        <v>42942.625</v>
      </c>
      <c r="F9" s="24">
        <v>42914.875</v>
      </c>
      <c r="G9" s="24">
        <v>42942.6875</v>
      </c>
    </row>
    <row r="10" spans="1:7">
      <c r="A10" s="22">
        <v>2</v>
      </c>
      <c r="B10" s="23" t="s">
        <v>21</v>
      </c>
      <c r="C10" s="23">
        <v>40</v>
      </c>
      <c r="D10" s="24">
        <v>42927.493055555555</v>
      </c>
      <c r="E10" s="24">
        <v>42941.458333333336</v>
      </c>
      <c r="F10" s="24">
        <v>42927.78125</v>
      </c>
      <c r="G10" s="24">
        <v>42941.458333333336</v>
      </c>
    </row>
    <row r="11" spans="1:7">
      <c r="A11" s="25"/>
      <c r="B11" s="23" t="s">
        <v>30</v>
      </c>
      <c r="C11" s="23">
        <v>40</v>
      </c>
      <c r="D11" s="24">
        <v>42927.493055555555</v>
      </c>
      <c r="E11" s="24">
        <v>42941.458333333336</v>
      </c>
      <c r="F11" s="24">
        <v>42927.78125</v>
      </c>
      <c r="G11" s="24">
        <v>42941.458333333336</v>
      </c>
    </row>
    <row r="12" spans="1:7">
      <c r="A12" s="25"/>
      <c r="B12" s="23" t="s">
        <v>70</v>
      </c>
      <c r="C12" s="23">
        <v>90</v>
      </c>
      <c r="D12" s="24">
        <v>42927.565972222219</v>
      </c>
      <c r="E12" s="24">
        <v>42941.625</v>
      </c>
      <c r="F12" s="24">
        <v>42927.78125</v>
      </c>
      <c r="G12" s="24">
        <v>42941.6875</v>
      </c>
    </row>
    <row r="13" spans="1:7">
      <c r="A13" s="26"/>
      <c r="B13" s="23" t="s">
        <v>76</v>
      </c>
      <c r="C13" s="23">
        <v>90</v>
      </c>
      <c r="D13" s="24">
        <v>42927.565972222219</v>
      </c>
      <c r="E13" s="24">
        <v>42941.625</v>
      </c>
      <c r="F13" s="24">
        <v>42927.78125</v>
      </c>
      <c r="G13" s="24">
        <v>42941.6875</v>
      </c>
    </row>
    <row r="14" spans="1:7">
      <c r="A14" s="22">
        <v>1</v>
      </c>
      <c r="B14" s="23" t="s">
        <v>21</v>
      </c>
      <c r="C14" s="23">
        <v>40</v>
      </c>
      <c r="D14" s="24">
        <v>42934.506944444445</v>
      </c>
      <c r="E14" s="24">
        <v>42941.458333333336</v>
      </c>
      <c r="F14" s="24">
        <v>42934.71875</v>
      </c>
      <c r="G14" s="24">
        <v>42941.458333333336</v>
      </c>
    </row>
    <row r="15" spans="1:7">
      <c r="A15" s="25"/>
      <c r="B15" s="23" t="s">
        <v>30</v>
      </c>
      <c r="C15" s="23">
        <v>40</v>
      </c>
      <c r="D15" s="24">
        <v>42934.506944444445</v>
      </c>
      <c r="E15" s="24">
        <v>42941.458333333336</v>
      </c>
      <c r="F15" s="24">
        <v>42934.71875</v>
      </c>
      <c r="G15" s="24">
        <v>42941.458333333336</v>
      </c>
    </row>
    <row r="16" spans="1:7">
      <c r="A16" s="25"/>
      <c r="B16" s="23" t="s">
        <v>70</v>
      </c>
      <c r="C16" s="23">
        <v>90</v>
      </c>
      <c r="D16" s="24">
        <v>42934.569444444445</v>
      </c>
      <c r="E16" s="24">
        <v>42941.625</v>
      </c>
      <c r="F16" s="24">
        <v>42934.71875</v>
      </c>
      <c r="G16" s="24">
        <v>42941.6875</v>
      </c>
    </row>
    <row r="17" spans="1:7">
      <c r="A17" s="26"/>
      <c r="B17" s="23" t="s">
        <v>76</v>
      </c>
      <c r="C17" s="23">
        <v>90</v>
      </c>
      <c r="D17" s="24">
        <v>42934.569444444445</v>
      </c>
      <c r="E17" s="24">
        <v>42941.625</v>
      </c>
      <c r="F17" s="24">
        <v>42934.71875</v>
      </c>
      <c r="G17" s="24">
        <v>42941.6875</v>
      </c>
    </row>
  </sheetData>
  <mergeCells count="4">
    <mergeCell ref="A2:A5"/>
    <mergeCell ref="A6:A9"/>
    <mergeCell ref="A10:A13"/>
    <mergeCell ref="A14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zoomScale="55" zoomScaleNormal="55" workbookViewId="0">
      <selection activeCell="H28" sqref="H28"/>
    </sheetView>
  </sheetViews>
  <sheetFormatPr defaultColWidth="11.5703125" defaultRowHeight="15"/>
  <cols>
    <col min="2" max="2" width="17.5703125" customWidth="1"/>
    <col min="3" max="3" width="14.28515625" customWidth="1"/>
    <col min="4" max="4" width="13.42578125" customWidth="1"/>
    <col min="5" max="5" width="24.140625" customWidth="1"/>
    <col min="6" max="6" width="17.28515625" customWidth="1"/>
    <col min="7" max="7" width="16.28515625" customWidth="1"/>
    <col min="8" max="8" width="15.5703125" customWidth="1"/>
    <col min="9" max="9" width="17" customWidth="1"/>
    <col min="10" max="10" width="16.5703125" customWidth="1"/>
    <col min="11" max="11" width="16.85546875" customWidth="1"/>
    <col min="13" max="13" width="16.85546875" bestFit="1" customWidth="1"/>
    <col min="14" max="14" width="21.7109375" bestFit="1" customWidth="1"/>
  </cols>
  <sheetData>
    <row r="1" spans="1:20" ht="29.85" customHeight="1">
      <c r="B1" s="27"/>
    </row>
    <row r="2" spans="1:20" ht="29.85" customHeight="1">
      <c r="B2" s="28" t="s">
        <v>129</v>
      </c>
      <c r="C2" s="1"/>
      <c r="G2" t="s">
        <v>130</v>
      </c>
      <c r="H2" s="28"/>
      <c r="I2" s="1"/>
    </row>
    <row r="3" spans="1:20" ht="29.85" customHeight="1">
      <c r="A3" s="21" t="s">
        <v>131</v>
      </c>
      <c r="B3" s="21" t="s">
        <v>132</v>
      </c>
      <c r="C3" s="29" t="s">
        <v>133</v>
      </c>
      <c r="D3" s="29" t="s">
        <v>134</v>
      </c>
      <c r="E3" s="29" t="s">
        <v>135</v>
      </c>
      <c r="G3" s="21" t="s">
        <v>131</v>
      </c>
      <c r="H3" s="21" t="s">
        <v>132</v>
      </c>
      <c r="I3" s="29" t="s">
        <v>136</v>
      </c>
      <c r="J3" s="29" t="s">
        <v>137</v>
      </c>
      <c r="K3" s="29" t="s">
        <v>138</v>
      </c>
      <c r="M3" s="28" t="s">
        <v>139</v>
      </c>
      <c r="Q3" s="28"/>
      <c r="R3" s="1"/>
    </row>
    <row r="4" spans="1:20" ht="29.85" customHeight="1">
      <c r="A4" s="30" t="s">
        <v>140</v>
      </c>
      <c r="B4" s="23" t="s">
        <v>141</v>
      </c>
      <c r="C4" s="31">
        <v>7</v>
      </c>
      <c r="D4" s="31">
        <v>4.01</v>
      </c>
      <c r="E4" s="32">
        <v>42832.482638888891</v>
      </c>
      <c r="G4" s="30" t="s">
        <v>140</v>
      </c>
      <c r="H4" s="23" t="s">
        <v>141</v>
      </c>
      <c r="I4" s="33" t="s">
        <v>22</v>
      </c>
      <c r="J4" s="33" t="s">
        <v>22</v>
      </c>
      <c r="K4" s="34" t="s">
        <v>22</v>
      </c>
      <c r="M4" s="29" t="s">
        <v>142</v>
      </c>
      <c r="N4" s="29" t="s">
        <v>143</v>
      </c>
      <c r="P4" s="2"/>
      <c r="Q4" s="2"/>
      <c r="R4" s="1"/>
      <c r="S4" s="1"/>
      <c r="T4" s="1"/>
    </row>
    <row r="5" spans="1:20" ht="29.85" customHeight="1">
      <c r="A5" s="30"/>
      <c r="B5" s="23" t="s">
        <v>144</v>
      </c>
      <c r="C5" s="31">
        <v>7</v>
      </c>
      <c r="D5" s="31">
        <v>4.01</v>
      </c>
      <c r="E5" s="32">
        <v>42832.690972222219</v>
      </c>
      <c r="G5" s="30"/>
      <c r="H5" s="23" t="s">
        <v>144</v>
      </c>
      <c r="I5" s="33" t="s">
        <v>22</v>
      </c>
      <c r="J5" s="33" t="s">
        <v>22</v>
      </c>
      <c r="K5" s="34" t="s">
        <v>22</v>
      </c>
      <c r="M5" s="23" t="s">
        <v>145</v>
      </c>
      <c r="N5" s="23" t="s">
        <v>146</v>
      </c>
      <c r="P5" s="35"/>
      <c r="R5" s="36"/>
      <c r="S5" s="7"/>
      <c r="T5" s="37"/>
    </row>
    <row r="6" spans="1:20" ht="29.85" customHeight="1">
      <c r="A6" s="30" t="s">
        <v>147</v>
      </c>
      <c r="B6" s="23" t="s">
        <v>141</v>
      </c>
      <c r="C6" s="31">
        <v>7</v>
      </c>
      <c r="D6" s="31">
        <v>4.01</v>
      </c>
      <c r="E6" s="32">
        <v>42914.461805555555</v>
      </c>
      <c r="G6" s="30" t="s">
        <v>147</v>
      </c>
      <c r="H6" s="23" t="s">
        <v>141</v>
      </c>
      <c r="I6" s="38">
        <v>100.01179999999999</v>
      </c>
      <c r="J6" s="31">
        <v>100.55</v>
      </c>
      <c r="K6" s="39">
        <v>42914</v>
      </c>
      <c r="M6" s="23" t="s">
        <v>148</v>
      </c>
      <c r="N6" s="23" t="s">
        <v>149</v>
      </c>
      <c r="P6" s="35"/>
      <c r="R6" s="36"/>
      <c r="S6" s="7"/>
      <c r="T6" s="37"/>
    </row>
    <row r="7" spans="1:20" ht="29.85" customHeight="1">
      <c r="A7" s="30"/>
      <c r="B7" s="23" t="s">
        <v>144</v>
      </c>
      <c r="C7" s="40" t="s">
        <v>22</v>
      </c>
      <c r="D7" s="40" t="s">
        <v>22</v>
      </c>
      <c r="E7" s="40" t="s">
        <v>22</v>
      </c>
      <c r="G7" s="30"/>
      <c r="H7" s="23" t="s">
        <v>144</v>
      </c>
      <c r="I7" s="38">
        <v>100.01179999999999</v>
      </c>
      <c r="J7" s="31">
        <v>100.55</v>
      </c>
      <c r="K7" s="39">
        <v>42914</v>
      </c>
      <c r="M7" s="23" t="s">
        <v>150</v>
      </c>
      <c r="N7" s="23" t="s">
        <v>151</v>
      </c>
      <c r="P7" s="35"/>
      <c r="R7" s="9"/>
      <c r="S7" s="8"/>
      <c r="T7" s="6"/>
    </row>
    <row r="8" spans="1:20" ht="29.85" customHeight="1">
      <c r="A8" s="30" t="s">
        <v>152</v>
      </c>
      <c r="B8" s="23" t="s">
        <v>141</v>
      </c>
      <c r="C8" s="31">
        <v>7</v>
      </c>
      <c r="D8" s="31">
        <v>4.01</v>
      </c>
      <c r="E8" s="32">
        <v>42927.4375</v>
      </c>
      <c r="G8" s="30" t="s">
        <v>152</v>
      </c>
      <c r="H8" s="23" t="s">
        <v>141</v>
      </c>
      <c r="I8" s="38">
        <v>100.0012</v>
      </c>
      <c r="J8" s="31">
        <v>100.19</v>
      </c>
      <c r="K8" s="39">
        <v>42927</v>
      </c>
      <c r="P8" s="35"/>
      <c r="R8" s="9"/>
      <c r="S8" s="8"/>
      <c r="T8" s="6"/>
    </row>
    <row r="9" spans="1:20" ht="29.85" customHeight="1">
      <c r="A9" s="30"/>
      <c r="B9" s="23" t="s">
        <v>144</v>
      </c>
      <c r="C9" s="31">
        <v>7</v>
      </c>
      <c r="D9" s="31">
        <v>4.01</v>
      </c>
      <c r="E9" s="32">
        <v>42927.524305555555</v>
      </c>
      <c r="G9" s="30"/>
      <c r="H9" s="23" t="s">
        <v>144</v>
      </c>
      <c r="I9" s="38">
        <v>100.0012</v>
      </c>
      <c r="J9" s="31">
        <v>100.19</v>
      </c>
      <c r="K9" s="39">
        <v>42927</v>
      </c>
      <c r="P9" s="35"/>
      <c r="R9" s="9"/>
      <c r="S9" s="8"/>
      <c r="T9" s="6"/>
    </row>
    <row r="10" spans="1:20" ht="29.85" customHeight="1">
      <c r="A10" s="30" t="s">
        <v>153</v>
      </c>
      <c r="B10" s="23" t="s">
        <v>141</v>
      </c>
      <c r="C10" s="31">
        <v>7</v>
      </c>
      <c r="D10" s="31">
        <v>4.01</v>
      </c>
      <c r="E10" s="32">
        <v>42934.427083333336</v>
      </c>
      <c r="G10" s="30" t="s">
        <v>153</v>
      </c>
      <c r="H10" s="23" t="s">
        <v>141</v>
      </c>
      <c r="I10" s="38">
        <v>100.01220000000001</v>
      </c>
      <c r="J10" s="31">
        <v>100.2</v>
      </c>
      <c r="K10" s="39">
        <v>42934</v>
      </c>
      <c r="P10" s="35"/>
      <c r="R10" s="9"/>
      <c r="S10" s="8"/>
      <c r="T10" s="6"/>
    </row>
    <row r="11" spans="1:20" ht="29.85" customHeight="1">
      <c r="A11" s="30"/>
      <c r="B11" s="23" t="s">
        <v>144</v>
      </c>
      <c r="C11" s="31">
        <v>7</v>
      </c>
      <c r="D11" s="31">
        <v>4.01</v>
      </c>
      <c r="E11" s="32">
        <v>42927.524305555555</v>
      </c>
      <c r="G11" s="30"/>
      <c r="H11" s="23" t="s">
        <v>144</v>
      </c>
      <c r="I11" s="38">
        <v>100.01220000000001</v>
      </c>
      <c r="J11" s="31">
        <v>100.2</v>
      </c>
      <c r="K11" s="39">
        <v>42934</v>
      </c>
      <c r="P11" s="35"/>
      <c r="R11" s="9"/>
      <c r="S11" s="8"/>
      <c r="T11" s="6"/>
    </row>
    <row r="12" spans="1:20" ht="29.85" customHeight="1">
      <c r="A12" s="41" t="s">
        <v>154</v>
      </c>
      <c r="B12" s="40" t="s">
        <v>22</v>
      </c>
      <c r="C12" s="31">
        <v>7</v>
      </c>
      <c r="D12" s="31">
        <v>10.050000000000001</v>
      </c>
      <c r="E12" s="32">
        <v>42941.541666666664</v>
      </c>
      <c r="G12" s="41" t="s">
        <v>154</v>
      </c>
      <c r="H12" s="23" t="s">
        <v>141</v>
      </c>
      <c r="I12" s="38">
        <v>100.01220000000001</v>
      </c>
      <c r="J12" s="31">
        <v>100.19</v>
      </c>
      <c r="K12" s="39">
        <v>42941</v>
      </c>
      <c r="P12" s="35"/>
      <c r="R12" s="9"/>
      <c r="S12" s="8"/>
      <c r="T12" s="6"/>
    </row>
    <row r="13" spans="1:20" ht="29.85" customHeight="1">
      <c r="A13" s="42"/>
      <c r="B13" s="40" t="s">
        <v>22</v>
      </c>
      <c r="C13" s="31">
        <v>7</v>
      </c>
      <c r="D13" s="31">
        <v>4.01</v>
      </c>
      <c r="E13" s="32">
        <v>42941.59375</v>
      </c>
      <c r="G13" s="42"/>
      <c r="H13" s="23" t="s">
        <v>144</v>
      </c>
      <c r="I13" s="38">
        <v>100.01220000000001</v>
      </c>
      <c r="J13" s="31">
        <v>100.19</v>
      </c>
      <c r="K13" s="39">
        <v>42941</v>
      </c>
    </row>
    <row r="14" spans="1:20" ht="29.85" customHeight="1">
      <c r="A14" s="43" t="s">
        <v>155</v>
      </c>
      <c r="B14" s="40" t="s">
        <v>22</v>
      </c>
      <c r="C14" s="31">
        <v>7</v>
      </c>
      <c r="D14" s="31">
        <v>10.050000000000001</v>
      </c>
      <c r="E14" s="32">
        <v>42941.645833333336</v>
      </c>
      <c r="G14" s="43" t="s">
        <v>155</v>
      </c>
      <c r="H14" s="23" t="s">
        <v>141</v>
      </c>
      <c r="I14" s="38">
        <v>100.01220000000001</v>
      </c>
      <c r="J14" s="31">
        <v>100.19</v>
      </c>
      <c r="K14" s="39">
        <v>42941</v>
      </c>
    </row>
    <row r="15" spans="1:20" ht="29.85" customHeight="1">
      <c r="A15" s="43"/>
      <c r="B15" s="40" t="s">
        <v>22</v>
      </c>
      <c r="C15" s="31">
        <v>7</v>
      </c>
      <c r="D15" s="31">
        <v>4.01</v>
      </c>
      <c r="E15" s="32">
        <v>42941.854166666664</v>
      </c>
      <c r="G15" s="43"/>
      <c r="H15" s="23" t="s">
        <v>144</v>
      </c>
      <c r="I15" s="38">
        <v>100.0124</v>
      </c>
      <c r="J15" s="31">
        <v>100.19</v>
      </c>
      <c r="K15" s="39">
        <v>42941</v>
      </c>
    </row>
    <row r="16" spans="1:20" ht="29.85" customHeight="1">
      <c r="A16" s="41" t="s">
        <v>156</v>
      </c>
      <c r="B16" s="40" t="s">
        <v>22</v>
      </c>
      <c r="C16" s="31">
        <v>7</v>
      </c>
      <c r="D16" s="31">
        <v>10.050000000000001</v>
      </c>
      <c r="E16" s="32">
        <v>42942.520833333336</v>
      </c>
      <c r="G16" s="41" t="s">
        <v>156</v>
      </c>
      <c r="H16" s="23" t="s">
        <v>141</v>
      </c>
      <c r="I16" s="38">
        <v>100.0129</v>
      </c>
      <c r="J16" s="31">
        <v>100.19</v>
      </c>
      <c r="K16" s="39">
        <v>42942</v>
      </c>
      <c r="R16" s="9"/>
      <c r="S16" s="8"/>
      <c r="T16" s="6"/>
    </row>
    <row r="17" spans="1:11" ht="29.85" customHeight="1">
      <c r="A17" s="42"/>
      <c r="B17" s="40" t="s">
        <v>22</v>
      </c>
      <c r="C17" s="31">
        <v>7</v>
      </c>
      <c r="D17" s="31">
        <v>4.01</v>
      </c>
      <c r="E17" s="32">
        <v>42942.583333333336</v>
      </c>
      <c r="G17" s="42"/>
      <c r="H17" s="23" t="s">
        <v>144</v>
      </c>
      <c r="I17" s="38">
        <v>100.01220000000001</v>
      </c>
      <c r="J17" s="31">
        <v>100.19</v>
      </c>
      <c r="K17" s="39">
        <v>42942</v>
      </c>
    </row>
    <row r="18" spans="1:11" ht="29.85" customHeight="1">
      <c r="A18" s="43" t="s">
        <v>157</v>
      </c>
      <c r="B18" s="40" t="s">
        <v>22</v>
      </c>
      <c r="C18" s="31">
        <v>7</v>
      </c>
      <c r="D18" s="31">
        <v>10.050000000000001</v>
      </c>
      <c r="E18" s="32">
        <v>42942.666666666664</v>
      </c>
      <c r="G18" s="43" t="s">
        <v>157</v>
      </c>
      <c r="H18" s="23" t="s">
        <v>141</v>
      </c>
      <c r="I18" s="38">
        <v>100.0125</v>
      </c>
      <c r="J18" s="31">
        <v>100.19</v>
      </c>
      <c r="K18" s="39">
        <v>42942</v>
      </c>
    </row>
    <row r="19" spans="1:11" ht="29.85" customHeight="1">
      <c r="A19" s="43"/>
      <c r="B19" s="40" t="s">
        <v>22</v>
      </c>
      <c r="C19" s="31">
        <v>7</v>
      </c>
      <c r="D19" s="31">
        <v>4.01</v>
      </c>
      <c r="E19" s="32">
        <v>42942.802083333336</v>
      </c>
      <c r="G19" s="43"/>
      <c r="H19" s="23" t="s">
        <v>144</v>
      </c>
      <c r="I19" s="38">
        <v>100.0125</v>
      </c>
      <c r="J19" s="31">
        <v>100.19</v>
      </c>
      <c r="K19" s="39">
        <v>42942</v>
      </c>
    </row>
    <row r="20" spans="1:11" ht="29.85" customHeight="1">
      <c r="A20" s="44"/>
      <c r="C20" s="8"/>
      <c r="D20" s="8"/>
      <c r="E20" s="45"/>
      <c r="G20" s="46"/>
      <c r="I20" s="9"/>
      <c r="J20" s="8"/>
      <c r="K20" s="6"/>
    </row>
    <row r="21" spans="1:11" ht="29.85" customHeight="1">
      <c r="A21" s="44"/>
      <c r="C21" s="8"/>
      <c r="D21" s="8"/>
      <c r="E21" s="45"/>
      <c r="G21" s="46"/>
      <c r="I21" s="9"/>
      <c r="J21" s="8"/>
      <c r="K21" s="6"/>
    </row>
    <row r="22" spans="1:11" ht="29.85" customHeight="1">
      <c r="A22" s="46"/>
      <c r="G22" s="2"/>
    </row>
    <row r="23" spans="1:11" ht="29.85" customHeight="1">
      <c r="B23" s="28" t="s">
        <v>158</v>
      </c>
      <c r="C23" t="s">
        <v>159</v>
      </c>
      <c r="E23" s="1" t="s">
        <v>160</v>
      </c>
      <c r="F23" s="6">
        <v>42832</v>
      </c>
      <c r="G23" s="1" t="s">
        <v>161</v>
      </c>
      <c r="H23" t="s">
        <v>162</v>
      </c>
    </row>
    <row r="24" spans="1:11" ht="40.5" customHeight="1">
      <c r="B24" s="21" t="s">
        <v>163</v>
      </c>
      <c r="C24" s="29" t="s">
        <v>164</v>
      </c>
      <c r="D24" s="21" t="s">
        <v>165</v>
      </c>
      <c r="E24" s="29" t="s">
        <v>166</v>
      </c>
      <c r="F24" s="21" t="s">
        <v>165</v>
      </c>
      <c r="G24" s="21" t="s">
        <v>167</v>
      </c>
      <c r="H24" s="21" t="s">
        <v>165</v>
      </c>
      <c r="I24" t="s">
        <v>168</v>
      </c>
      <c r="J24" t="s">
        <v>169</v>
      </c>
    </row>
    <row r="25" spans="1:11" ht="29.85" customHeight="1">
      <c r="B25" s="23">
        <v>1</v>
      </c>
      <c r="C25" s="23">
        <v>4.9824999999999999</v>
      </c>
      <c r="D25" s="47">
        <v>21</v>
      </c>
      <c r="E25" s="23">
        <v>2.4918999999999998</v>
      </c>
      <c r="F25" s="47">
        <v>21</v>
      </c>
      <c r="G25" s="23">
        <v>0.50990000000000002</v>
      </c>
      <c r="H25" s="47">
        <v>21.1</v>
      </c>
      <c r="I25">
        <v>21</v>
      </c>
      <c r="J25">
        <v>0.998</v>
      </c>
    </row>
    <row r="26" spans="1:11" ht="29.85" customHeight="1">
      <c r="B26" s="23">
        <v>2</v>
      </c>
      <c r="C26" s="23">
        <v>5.0152999999999999</v>
      </c>
      <c r="D26" s="47">
        <v>21</v>
      </c>
      <c r="E26" s="23">
        <v>2.5051999999999999</v>
      </c>
      <c r="F26" s="47">
        <v>21</v>
      </c>
      <c r="G26" s="23">
        <v>0.50770000000000004</v>
      </c>
      <c r="H26" s="47">
        <v>21.1</v>
      </c>
      <c r="I26">
        <v>21.1</v>
      </c>
      <c r="J26">
        <v>0.998</v>
      </c>
    </row>
    <row r="27" spans="1:11" ht="29.85" customHeight="1">
      <c r="B27" s="23">
        <v>3</v>
      </c>
      <c r="C27" s="23">
        <v>5.0129000000000001</v>
      </c>
      <c r="D27" s="47">
        <v>21</v>
      </c>
      <c r="E27" s="23">
        <v>2.4971000000000001</v>
      </c>
      <c r="F27" s="47">
        <v>21</v>
      </c>
      <c r="G27" s="23">
        <v>0.50590000000000002</v>
      </c>
      <c r="H27" s="47">
        <v>21.1</v>
      </c>
    </row>
    <row r="28" spans="1:11" ht="29.85" customHeight="1">
      <c r="B28" s="23">
        <v>4</v>
      </c>
      <c r="C28" s="23">
        <v>4.9935</v>
      </c>
      <c r="D28" s="47">
        <v>21</v>
      </c>
      <c r="E28" s="23">
        <v>2.4998</v>
      </c>
      <c r="F28" s="47">
        <v>21</v>
      </c>
      <c r="G28" s="23">
        <v>0.51039999999999996</v>
      </c>
      <c r="H28" s="47">
        <v>21.1</v>
      </c>
    </row>
    <row r="29" spans="1:11" ht="29.85" customHeight="1">
      <c r="B29" s="23">
        <v>5</v>
      </c>
      <c r="C29" s="23">
        <v>4.9835000000000003</v>
      </c>
      <c r="D29" s="47">
        <v>21</v>
      </c>
      <c r="E29" s="23">
        <v>2.4954999999999998</v>
      </c>
      <c r="F29" s="47">
        <v>21</v>
      </c>
      <c r="G29" s="23">
        <v>0.50719999999999998</v>
      </c>
      <c r="H29" s="47">
        <v>21.1</v>
      </c>
    </row>
    <row r="30" spans="1:11" ht="29.85" customHeight="1">
      <c r="B30" s="23" t="s">
        <v>119</v>
      </c>
      <c r="C30" s="38">
        <f>AVERAGE(C25:C29)</f>
        <v>4.9975399999999999</v>
      </c>
      <c r="D30" s="47">
        <f t="shared" ref="D30:G30" si="0">AVERAGE(D25:D29)</f>
        <v>21</v>
      </c>
      <c r="E30" s="38">
        <f t="shared" si="0"/>
        <v>2.4979</v>
      </c>
      <c r="F30" s="47">
        <f t="shared" si="0"/>
        <v>21</v>
      </c>
      <c r="G30" s="38">
        <f t="shared" si="0"/>
        <v>0.50822000000000001</v>
      </c>
      <c r="H30" s="47">
        <f>AVERAGE(H25:H29)</f>
        <v>21.1</v>
      </c>
    </row>
    <row r="31" spans="1:11" ht="29.85" customHeight="1">
      <c r="B31" s="23" t="s">
        <v>170</v>
      </c>
      <c r="C31" s="23">
        <f>(C30/(5*J25))*100</f>
        <v>100.15110220440882</v>
      </c>
      <c r="D31" s="23"/>
      <c r="E31" s="23">
        <f>(E30/(2.5*J25))*100</f>
        <v>100.11623246492987</v>
      </c>
      <c r="F31" s="23"/>
      <c r="G31" s="23">
        <f>(G30/(0.5*J26))*100</f>
        <v>101.84769539078155</v>
      </c>
      <c r="H31" s="23"/>
    </row>
    <row r="32" spans="1:11" ht="29.85" customHeight="1">
      <c r="B32" s="23" t="s">
        <v>171</v>
      </c>
      <c r="C32" s="38">
        <f>STDEV(C25:C29)</f>
        <v>1.574001270647513E-2</v>
      </c>
      <c r="D32" s="38"/>
      <c r="E32" s="38">
        <f t="shared" ref="E32:G32" si="1">STDEV(E25:E29)</f>
        <v>4.9824692673412826E-3</v>
      </c>
      <c r="F32" s="38"/>
      <c r="G32" s="38">
        <f t="shared" si="1"/>
        <v>1.8886503117305641E-3</v>
      </c>
      <c r="H32" s="38"/>
    </row>
    <row r="33" spans="2:13" ht="29.85" customHeight="1">
      <c r="B33" s="23" t="s">
        <v>172</v>
      </c>
      <c r="C33" s="38">
        <f>(C32/C30)*100</f>
        <v>0.3149552120938528</v>
      </c>
      <c r="D33" s="38"/>
      <c r="E33" s="38">
        <f t="shared" ref="E33:G33" si="2">(E32/E30)*100</f>
        <v>0.19946632240447104</v>
      </c>
      <c r="F33" s="38"/>
      <c r="G33" s="38">
        <f t="shared" si="2"/>
        <v>0.37162061936377239</v>
      </c>
      <c r="H33" s="38"/>
    </row>
    <row r="35" spans="2:13" ht="29.85" customHeight="1">
      <c r="B35" s="28" t="s">
        <v>158</v>
      </c>
      <c r="C35" t="s">
        <v>173</v>
      </c>
      <c r="E35" s="1" t="s">
        <v>160</v>
      </c>
      <c r="F35" s="6">
        <v>42914</v>
      </c>
      <c r="G35" s="1" t="s">
        <v>161</v>
      </c>
      <c r="H35" t="s">
        <v>162</v>
      </c>
      <c r="K35">
        <v>5</v>
      </c>
      <c r="L35">
        <v>2.5</v>
      </c>
      <c r="M35">
        <v>0.5</v>
      </c>
    </row>
    <row r="36" spans="2:13" ht="46.5" customHeight="1">
      <c r="B36" s="21" t="s">
        <v>163</v>
      </c>
      <c r="C36" s="29" t="s">
        <v>164</v>
      </c>
      <c r="D36" s="21" t="s">
        <v>165</v>
      </c>
      <c r="E36" s="29" t="s">
        <v>166</v>
      </c>
      <c r="F36" s="21" t="s">
        <v>165</v>
      </c>
      <c r="G36" s="21" t="s">
        <v>167</v>
      </c>
      <c r="H36" s="21" t="s">
        <v>165</v>
      </c>
      <c r="I36" t="s">
        <v>168</v>
      </c>
      <c r="J36" t="s">
        <v>169</v>
      </c>
      <c r="K36" t="s">
        <v>174</v>
      </c>
      <c r="L36" t="s">
        <v>174</v>
      </c>
      <c r="M36" t="s">
        <v>174</v>
      </c>
    </row>
    <row r="37" spans="2:13" ht="29.85" customHeight="1">
      <c r="B37" s="23">
        <v>1</v>
      </c>
      <c r="C37" s="23">
        <v>4.9824999999999999</v>
      </c>
      <c r="D37" s="23">
        <v>22.7</v>
      </c>
      <c r="E37" s="23">
        <v>2.5038</v>
      </c>
      <c r="F37" s="23">
        <v>22.4</v>
      </c>
      <c r="G37" s="23">
        <v>0.5081</v>
      </c>
      <c r="H37" s="23">
        <v>22.2</v>
      </c>
      <c r="I37">
        <v>22.6</v>
      </c>
      <c r="J37">
        <v>0.99763199999999996</v>
      </c>
      <c r="K37">
        <f>K35*$J$37</f>
        <v>4.9881599999999997</v>
      </c>
      <c r="L37">
        <f t="shared" ref="L37:M37" si="3">L35*$J$37</f>
        <v>2.4940799999999999</v>
      </c>
      <c r="M37">
        <f t="shared" si="3"/>
        <v>0.49881599999999998</v>
      </c>
    </row>
    <row r="38" spans="2:13" ht="29.85" customHeight="1">
      <c r="B38" s="23">
        <v>2</v>
      </c>
      <c r="C38" s="23">
        <v>5.0152999999999999</v>
      </c>
      <c r="D38" s="23">
        <v>22.7</v>
      </c>
      <c r="E38" s="23">
        <v>2.4931999999999999</v>
      </c>
      <c r="F38" s="23">
        <v>22.4</v>
      </c>
      <c r="G38" s="23">
        <v>0.50729999999999997</v>
      </c>
      <c r="H38" s="23">
        <v>22.2</v>
      </c>
      <c r="I38">
        <v>22.3</v>
      </c>
      <c r="J38">
        <v>0.99770099999999995</v>
      </c>
      <c r="K38">
        <f>$J$38*K35</f>
        <v>4.988505</v>
      </c>
      <c r="L38">
        <f t="shared" ref="L38:M38" si="4">$J$38*L35</f>
        <v>2.4942525</v>
      </c>
      <c r="M38">
        <f t="shared" si="4"/>
        <v>0.49885049999999997</v>
      </c>
    </row>
    <row r="39" spans="2:13" ht="29.85" customHeight="1">
      <c r="B39" s="23">
        <v>3</v>
      </c>
      <c r="C39" s="23">
        <v>5.0129000000000001</v>
      </c>
      <c r="D39" s="23">
        <v>22.6</v>
      </c>
      <c r="E39" s="23">
        <v>2.5013000000000001</v>
      </c>
      <c r="F39" s="23">
        <v>22.3</v>
      </c>
      <c r="G39" s="23">
        <v>0.50670000000000004</v>
      </c>
      <c r="H39" s="23">
        <v>22.2</v>
      </c>
      <c r="I39">
        <v>26.2</v>
      </c>
      <c r="J39">
        <v>0.99772400000000006</v>
      </c>
      <c r="K39">
        <f>$J$39*K35</f>
        <v>4.9886200000000001</v>
      </c>
      <c r="L39">
        <f t="shared" ref="L39:M39" si="5">$J$39*L35</f>
        <v>2.49431</v>
      </c>
      <c r="M39">
        <f t="shared" si="5"/>
        <v>0.49886200000000003</v>
      </c>
    </row>
    <row r="40" spans="2:13" ht="29.85" customHeight="1">
      <c r="B40" s="23">
        <v>4</v>
      </c>
      <c r="C40" s="23">
        <v>4.9935</v>
      </c>
      <c r="D40" s="23">
        <v>22.6</v>
      </c>
      <c r="E40" s="23">
        <v>2.5026000000000002</v>
      </c>
      <c r="F40" s="23">
        <v>22.3</v>
      </c>
      <c r="G40" s="23">
        <v>0.50539999999999996</v>
      </c>
      <c r="H40" s="23">
        <v>22.2</v>
      </c>
    </row>
    <row r="41" spans="2:13" ht="29.85" customHeight="1">
      <c r="B41" s="23">
        <v>5</v>
      </c>
      <c r="C41" s="23">
        <v>4.9835000000000003</v>
      </c>
      <c r="D41" s="23">
        <v>22.5</v>
      </c>
      <c r="E41" s="23">
        <v>2.4946000000000002</v>
      </c>
      <c r="F41" s="23">
        <v>22.3</v>
      </c>
      <c r="G41" s="23">
        <v>0.50729999999999997</v>
      </c>
      <c r="H41" s="23">
        <v>22.2</v>
      </c>
    </row>
    <row r="42" spans="2:13" ht="29.85" customHeight="1">
      <c r="B42" s="23" t="s">
        <v>119</v>
      </c>
      <c r="C42" s="23">
        <f>AVERAGE(C37:C41)</f>
        <v>4.9975399999999999</v>
      </c>
      <c r="D42" s="23">
        <f t="shared" ref="D42:H42" si="6">AVERAGE(D37:D41)</f>
        <v>22.619999999999997</v>
      </c>
      <c r="E42" s="23">
        <f t="shared" si="6"/>
        <v>2.4991000000000003</v>
      </c>
      <c r="F42" s="23">
        <f t="shared" si="6"/>
        <v>22.339999999999996</v>
      </c>
      <c r="G42" s="23">
        <f t="shared" si="6"/>
        <v>0.50695999999999997</v>
      </c>
      <c r="H42" s="23">
        <f t="shared" si="6"/>
        <v>22.2</v>
      </c>
    </row>
    <row r="43" spans="2:13" ht="29.85" customHeight="1">
      <c r="B43" s="23" t="s">
        <v>170</v>
      </c>
      <c r="C43" s="23">
        <f>(C42/K37)*100</f>
        <v>100.18804529124967</v>
      </c>
      <c r="D43" s="23"/>
      <c r="E43" s="23">
        <f>(E42/L38)*100</f>
        <v>100.19434680330079</v>
      </c>
      <c r="F43" s="23"/>
      <c r="G43" s="23">
        <f>(G42/M39)*100</f>
        <v>101.62329461855182</v>
      </c>
      <c r="H43" s="23"/>
    </row>
    <row r="44" spans="2:13" ht="29.85" customHeight="1">
      <c r="B44" s="23" t="s">
        <v>171</v>
      </c>
      <c r="C44" s="23">
        <f>STDEV(C37:C41)</f>
        <v>1.574001270647513E-2</v>
      </c>
      <c r="D44" s="23"/>
      <c r="E44" s="23">
        <f>STDEV(E37:E41)</f>
        <v>4.8538644398046903E-3</v>
      </c>
      <c r="F44" s="23"/>
      <c r="G44" s="23">
        <f t="shared" ref="G44" si="7">STDEV(G37:G41)</f>
        <v>1.0039920318408977E-3</v>
      </c>
      <c r="H44" s="23"/>
    </row>
    <row r="45" spans="2:13" ht="29.85" customHeight="1">
      <c r="B45" s="23" t="s">
        <v>172</v>
      </c>
      <c r="C45" s="23">
        <f>(C44/C42)*100</f>
        <v>0.3149552120938528</v>
      </c>
      <c r="D45" s="23"/>
      <c r="E45" s="23">
        <f>(E44/E42)*100</f>
        <v>0.19422449841161579</v>
      </c>
      <c r="F45" s="23"/>
      <c r="G45" s="23">
        <f t="shared" ref="G45" si="8">(G44/G42)*100</f>
        <v>0.19804166637227746</v>
      </c>
      <c r="H45" s="23"/>
    </row>
    <row r="47" spans="2:13" ht="29.85" customHeight="1">
      <c r="B47" s="28" t="s">
        <v>158</v>
      </c>
      <c r="C47" t="s">
        <v>175</v>
      </c>
      <c r="E47" s="1" t="s">
        <v>160</v>
      </c>
      <c r="F47" s="6">
        <v>42927</v>
      </c>
      <c r="G47" s="1" t="s">
        <v>161</v>
      </c>
      <c r="H47" t="s">
        <v>162</v>
      </c>
    </row>
    <row r="48" spans="2:13" ht="29.85" customHeight="1">
      <c r="B48" s="21" t="s">
        <v>163</v>
      </c>
      <c r="C48" s="29" t="s">
        <v>164</v>
      </c>
      <c r="D48" s="21" t="s">
        <v>165</v>
      </c>
      <c r="E48" s="29" t="s">
        <v>166</v>
      </c>
      <c r="F48" s="21" t="s">
        <v>165</v>
      </c>
      <c r="G48" s="21" t="s">
        <v>167</v>
      </c>
      <c r="H48" s="21" t="s">
        <v>165</v>
      </c>
      <c r="I48">
        <v>1</v>
      </c>
      <c r="J48">
        <v>0.99770000000000003</v>
      </c>
    </row>
    <row r="49" spans="2:10" ht="29.85" customHeight="1">
      <c r="B49" s="23">
        <v>1</v>
      </c>
      <c r="C49" s="38">
        <v>5.0209000000000001</v>
      </c>
      <c r="D49" s="23">
        <v>22.5</v>
      </c>
      <c r="E49" s="38">
        <v>2.5070000000000001</v>
      </c>
      <c r="F49" s="23">
        <v>22.6</v>
      </c>
      <c r="G49" s="38">
        <v>0.50349999999999995</v>
      </c>
      <c r="H49" s="23">
        <v>22.7</v>
      </c>
      <c r="I49" s="48">
        <v>2</v>
      </c>
      <c r="J49" s="48">
        <v>0.99760000000000004</v>
      </c>
    </row>
    <row r="50" spans="2:10" ht="29.85" customHeight="1">
      <c r="B50" s="23">
        <v>2</v>
      </c>
      <c r="C50" s="38">
        <v>5.0125999999999999</v>
      </c>
      <c r="D50" s="23">
        <v>22.5</v>
      </c>
      <c r="E50" s="38">
        <v>2.5</v>
      </c>
      <c r="F50" s="23">
        <v>22.6</v>
      </c>
      <c r="G50" s="38">
        <v>0.50249999999999995</v>
      </c>
      <c r="H50" s="23">
        <v>22.7</v>
      </c>
      <c r="I50" s="48">
        <v>3</v>
      </c>
      <c r="J50" s="48">
        <v>0.99760000000000004</v>
      </c>
    </row>
    <row r="51" spans="2:10" ht="29.85" customHeight="1">
      <c r="B51" s="23">
        <v>3</v>
      </c>
      <c r="C51" s="38">
        <v>5.0065999999999997</v>
      </c>
      <c r="D51" s="23">
        <v>22.5</v>
      </c>
      <c r="E51" s="38">
        <v>2.5007999999999999</v>
      </c>
      <c r="F51" s="23">
        <v>22.6</v>
      </c>
      <c r="G51" s="38">
        <v>0.50370000000000004</v>
      </c>
      <c r="H51" s="23">
        <v>22.7</v>
      </c>
    </row>
    <row r="52" spans="2:10" ht="29.85" customHeight="1">
      <c r="B52" s="23">
        <v>4</v>
      </c>
      <c r="C52" s="38">
        <v>5.0091000000000001</v>
      </c>
      <c r="D52" s="23">
        <v>22.5</v>
      </c>
      <c r="E52" s="38">
        <v>2.5004</v>
      </c>
      <c r="F52" s="23">
        <v>22.6</v>
      </c>
      <c r="G52" s="38">
        <v>0.50649999999999995</v>
      </c>
      <c r="H52" s="23">
        <v>22.7</v>
      </c>
    </row>
    <row r="53" spans="2:10" ht="29.85" customHeight="1">
      <c r="B53" s="23">
        <v>5</v>
      </c>
      <c r="C53" s="38">
        <v>5.0084999999999997</v>
      </c>
      <c r="D53" s="23">
        <v>22.5</v>
      </c>
      <c r="E53" s="38">
        <v>2.4984999999999999</v>
      </c>
      <c r="F53" s="23">
        <v>22.7</v>
      </c>
      <c r="G53" s="38">
        <v>0.50460000000000005</v>
      </c>
      <c r="H53" s="23">
        <v>22.7</v>
      </c>
    </row>
    <row r="54" spans="2:10" ht="29.85" customHeight="1">
      <c r="B54" s="23" t="s">
        <v>119</v>
      </c>
      <c r="C54" s="38">
        <f>AVERAGE(C49:C53)</f>
        <v>5.0115399999999992</v>
      </c>
      <c r="D54" s="23">
        <f t="shared" ref="D54:G54" si="9">AVERAGE(D49:D53)</f>
        <v>22.5</v>
      </c>
      <c r="E54" s="38">
        <f t="shared" si="9"/>
        <v>2.5013399999999999</v>
      </c>
      <c r="F54" s="23">
        <f t="shared" si="9"/>
        <v>22.62</v>
      </c>
      <c r="G54" s="38">
        <f t="shared" si="9"/>
        <v>0.50415999999999994</v>
      </c>
      <c r="H54" s="23">
        <f>AVERAGE(H49:H53)</f>
        <v>22.7</v>
      </c>
    </row>
    <row r="55" spans="2:10" ht="29.85" customHeight="1">
      <c r="B55" s="23" t="s">
        <v>170</v>
      </c>
      <c r="C55" s="38">
        <f>(C54/(5*J48))*100</f>
        <v>100.46186228325146</v>
      </c>
      <c r="D55" s="23"/>
      <c r="E55" s="38">
        <f>(E54/(2.5*J49))*100</f>
        <v>100.29430633520448</v>
      </c>
      <c r="F55" s="23"/>
      <c r="G55" s="38">
        <f>(G54/(0.5*J50))*100</f>
        <v>101.07457898957497</v>
      </c>
      <c r="H55" s="23"/>
    </row>
    <row r="56" spans="2:10" ht="29.85" customHeight="1">
      <c r="B56" s="23" t="s">
        <v>171</v>
      </c>
      <c r="C56" s="38">
        <f>STDEV(C49:C53)</f>
        <v>5.6641857314182068E-3</v>
      </c>
      <c r="D56" s="23"/>
      <c r="E56" s="38">
        <f t="shared" ref="E56" si="10">STDEV(E49:E53)</f>
        <v>3.2814630883190592E-3</v>
      </c>
      <c r="F56" s="23"/>
      <c r="G56" s="38">
        <f t="shared" ref="G56" si="11">STDEV(G49:G53)</f>
        <v>1.5059880477613378E-3</v>
      </c>
      <c r="H56" s="23"/>
    </row>
    <row r="57" spans="2:10" ht="29.85" customHeight="1">
      <c r="B57" s="23" t="s">
        <v>172</v>
      </c>
      <c r="C57" s="38">
        <f>(C56/C54)*100</f>
        <v>0.11302285787239466</v>
      </c>
      <c r="D57" s="23"/>
      <c r="E57" s="38">
        <f t="shared" ref="E57" si="12">(E56/E54)*100</f>
        <v>0.13118820665399583</v>
      </c>
      <c r="F57" s="23"/>
      <c r="G57" s="38">
        <f t="shared" ref="G57" si="13">(G56/G54)*100</f>
        <v>0.29871232302470208</v>
      </c>
      <c r="H57" s="23"/>
    </row>
    <row r="59" spans="2:10" ht="29.85" customHeight="1">
      <c r="B59" s="28" t="s">
        <v>158</v>
      </c>
      <c r="C59" t="s">
        <v>176</v>
      </c>
      <c r="E59" s="1" t="s">
        <v>160</v>
      </c>
      <c r="F59" s="6">
        <v>42934</v>
      </c>
      <c r="G59" s="1" t="s">
        <v>161</v>
      </c>
      <c r="H59" t="s">
        <v>162</v>
      </c>
    </row>
    <row r="60" spans="2:10" ht="36.75" customHeight="1">
      <c r="B60" s="21" t="s">
        <v>163</v>
      </c>
      <c r="C60" s="29" t="s">
        <v>164</v>
      </c>
      <c r="D60" s="21" t="s">
        <v>165</v>
      </c>
      <c r="E60" s="29" t="s">
        <v>166</v>
      </c>
      <c r="F60" s="21" t="s">
        <v>165</v>
      </c>
      <c r="G60" s="21" t="s">
        <v>167</v>
      </c>
      <c r="H60" s="21" t="s">
        <v>165</v>
      </c>
      <c r="I60">
        <v>24</v>
      </c>
      <c r="J60">
        <v>0.99729999999999996</v>
      </c>
    </row>
    <row r="61" spans="2:10" ht="29.85" customHeight="1">
      <c r="B61" s="23">
        <v>1</v>
      </c>
      <c r="C61" s="38">
        <v>5.0030999999999999</v>
      </c>
      <c r="D61" s="47">
        <v>24</v>
      </c>
      <c r="E61" s="38">
        <v>2.5026000000000002</v>
      </c>
      <c r="F61" s="47">
        <v>24</v>
      </c>
      <c r="G61" s="38">
        <v>0.50760000000000005</v>
      </c>
      <c r="H61" s="47">
        <v>24</v>
      </c>
    </row>
    <row r="62" spans="2:10" ht="29.85" customHeight="1">
      <c r="B62" s="23">
        <v>2</v>
      </c>
      <c r="C62" s="38">
        <v>5.0144000000000002</v>
      </c>
      <c r="D62" s="47">
        <v>24</v>
      </c>
      <c r="E62" s="38">
        <v>2.4971999999999999</v>
      </c>
      <c r="F62" s="47">
        <v>24</v>
      </c>
      <c r="G62" s="38">
        <v>0.50839999999999996</v>
      </c>
      <c r="H62" s="47">
        <v>24</v>
      </c>
    </row>
    <row r="63" spans="2:10" ht="29.85" customHeight="1">
      <c r="B63" s="23">
        <v>3</v>
      </c>
      <c r="C63" s="38">
        <v>5.0069999999999997</v>
      </c>
      <c r="D63" s="47">
        <v>24</v>
      </c>
      <c r="E63" s="38">
        <v>2.4988999999999999</v>
      </c>
      <c r="F63" s="47">
        <v>24</v>
      </c>
      <c r="G63" s="38">
        <v>0.50780000000000003</v>
      </c>
      <c r="H63" s="47">
        <v>24</v>
      </c>
    </row>
    <row r="64" spans="2:10" ht="29.85" customHeight="1">
      <c r="B64" s="23">
        <v>4</v>
      </c>
      <c r="C64" s="38">
        <v>4.9988999999999999</v>
      </c>
      <c r="D64" s="47">
        <v>24</v>
      </c>
      <c r="E64" s="38">
        <v>2.5047000000000001</v>
      </c>
      <c r="F64" s="47">
        <v>24</v>
      </c>
      <c r="G64" s="38">
        <v>0.50760000000000005</v>
      </c>
      <c r="H64" s="47">
        <v>24</v>
      </c>
    </row>
    <row r="65" spans="2:10" ht="29.85" customHeight="1">
      <c r="B65" s="23">
        <v>5</v>
      </c>
      <c r="C65" s="38">
        <v>4.9981</v>
      </c>
      <c r="D65" s="47">
        <v>24</v>
      </c>
      <c r="E65" s="38">
        <v>2.4990000000000001</v>
      </c>
      <c r="F65" s="47">
        <v>24</v>
      </c>
      <c r="G65" s="38">
        <v>0.50729999999999997</v>
      </c>
      <c r="H65" s="47">
        <v>24</v>
      </c>
    </row>
    <row r="66" spans="2:10" ht="29.85" customHeight="1">
      <c r="B66" s="23" t="s">
        <v>119</v>
      </c>
      <c r="C66" s="38">
        <f>AVERAGE(C61:C65)</f>
        <v>5.0042999999999997</v>
      </c>
      <c r="D66" s="47">
        <f t="shared" ref="D66:G66" si="14">AVERAGE(D61:D65)</f>
        <v>24</v>
      </c>
      <c r="E66" s="38">
        <f t="shared" si="14"/>
        <v>2.5004800000000005</v>
      </c>
      <c r="F66" s="47">
        <f t="shared" si="14"/>
        <v>24</v>
      </c>
      <c r="G66" s="38">
        <f t="shared" si="14"/>
        <v>0.50773999999999997</v>
      </c>
      <c r="H66" s="47">
        <f>AVERAGE(H61:H65)</f>
        <v>24</v>
      </c>
    </row>
    <row r="67" spans="2:10" ht="29.85" customHeight="1">
      <c r="B67" s="23" t="s">
        <v>170</v>
      </c>
      <c r="C67" s="38">
        <f>(C66/(5*J60))*100</f>
        <v>100.35696380226614</v>
      </c>
      <c r="D67" s="23"/>
      <c r="E67" s="38">
        <f>(E66/(2.5*J60))*100</f>
        <v>100.28998295397575</v>
      </c>
      <c r="F67" s="23"/>
      <c r="G67" s="38">
        <f>(G66/(0.5*J60))*100</f>
        <v>101.82292188910056</v>
      </c>
      <c r="H67" s="23"/>
    </row>
    <row r="68" spans="2:10" ht="29.85" customHeight="1">
      <c r="B68" s="23" t="s">
        <v>171</v>
      </c>
      <c r="C68" s="38">
        <f>STDEV(C61:C65)</f>
        <v>6.6772000119811378E-3</v>
      </c>
      <c r="D68" s="23"/>
      <c r="E68" s="38">
        <f t="shared" ref="E68" si="15">STDEV(E61:E65)</f>
        <v>3.0719700519374698E-3</v>
      </c>
      <c r="F68" s="23"/>
      <c r="G68" s="38">
        <f t="shared" ref="G68" si="16">STDEV(G61:G65)</f>
        <v>4.098780306383686E-4</v>
      </c>
      <c r="H68" s="23"/>
    </row>
    <row r="69" spans="2:10" ht="29.85" customHeight="1">
      <c r="B69" s="23" t="s">
        <v>172</v>
      </c>
      <c r="C69" s="38">
        <f>(C68/C66)*100</f>
        <v>0.13342925108369078</v>
      </c>
      <c r="D69" s="23"/>
      <c r="E69" s="38">
        <f t="shared" ref="E69" si="17">(E68/E66)*100</f>
        <v>0.1228552138764345</v>
      </c>
      <c r="F69" s="23"/>
      <c r="G69" s="38">
        <f t="shared" ref="G69" si="18">(G68/G66)*100</f>
        <v>8.072596814085331E-2</v>
      </c>
      <c r="H69" s="23"/>
    </row>
    <row r="72" spans="2:10" ht="29.85" customHeight="1">
      <c r="B72" s="28" t="s">
        <v>158</v>
      </c>
      <c r="C72" t="s">
        <v>177</v>
      </c>
      <c r="E72" s="1" t="s">
        <v>160</v>
      </c>
      <c r="F72" s="6">
        <v>42942</v>
      </c>
      <c r="G72" s="1" t="s">
        <v>161</v>
      </c>
      <c r="H72" t="s">
        <v>162</v>
      </c>
    </row>
    <row r="73" spans="2:10" ht="39" customHeight="1">
      <c r="B73" s="21" t="s">
        <v>163</v>
      </c>
      <c r="C73" s="29" t="s">
        <v>164</v>
      </c>
      <c r="D73" s="21" t="s">
        <v>165</v>
      </c>
      <c r="E73" s="29" t="s">
        <v>166</v>
      </c>
      <c r="F73" s="21" t="s">
        <v>165</v>
      </c>
      <c r="G73" s="21" t="s">
        <v>167</v>
      </c>
      <c r="H73" s="21" t="s">
        <v>165</v>
      </c>
      <c r="I73" s="23">
        <v>22.1</v>
      </c>
      <c r="J73">
        <v>0.99770000000000003</v>
      </c>
    </row>
    <row r="74" spans="2:10" ht="29.85" customHeight="1">
      <c r="B74" s="23">
        <v>1</v>
      </c>
      <c r="C74" s="23">
        <v>5.0072000000000001</v>
      </c>
      <c r="D74" s="23">
        <v>22.1</v>
      </c>
      <c r="E74" s="23">
        <v>2.5034000000000001</v>
      </c>
      <c r="F74" s="23">
        <v>22.1</v>
      </c>
      <c r="G74" s="23">
        <v>0.50829999999999997</v>
      </c>
      <c r="H74" s="23">
        <v>22.1</v>
      </c>
      <c r="I74" s="23">
        <v>22.1</v>
      </c>
      <c r="J74">
        <v>0.99770000000000003</v>
      </c>
    </row>
    <row r="75" spans="2:10" ht="29.85" customHeight="1">
      <c r="B75" s="23">
        <v>2</v>
      </c>
      <c r="C75" s="23">
        <v>5.0083000000000002</v>
      </c>
      <c r="D75" s="23">
        <v>22.1</v>
      </c>
      <c r="E75" s="23">
        <v>2.4977</v>
      </c>
      <c r="F75" s="23">
        <v>22.1</v>
      </c>
      <c r="G75" s="23">
        <v>0.50819999999999999</v>
      </c>
      <c r="H75" s="23">
        <v>22.1</v>
      </c>
    </row>
    <row r="76" spans="2:10" ht="29.85" customHeight="1">
      <c r="B76" s="23">
        <v>3</v>
      </c>
      <c r="C76" s="23">
        <v>5.0113000000000003</v>
      </c>
      <c r="D76" s="23">
        <v>22.1</v>
      </c>
      <c r="E76" s="23">
        <v>2.4935999999999998</v>
      </c>
      <c r="F76" s="23">
        <v>22.1</v>
      </c>
      <c r="G76" s="23">
        <v>0.50819999999999999</v>
      </c>
      <c r="H76" s="23">
        <v>22.1</v>
      </c>
    </row>
    <row r="77" spans="2:10" ht="29.85" customHeight="1">
      <c r="B77" s="23">
        <v>4</v>
      </c>
      <c r="C77" s="23">
        <v>5.0084</v>
      </c>
      <c r="D77" s="23">
        <v>22.1</v>
      </c>
      <c r="E77" s="23">
        <v>2.5030000000000001</v>
      </c>
      <c r="F77" s="23">
        <v>22.1</v>
      </c>
      <c r="G77" s="23">
        <v>0.50629999999999997</v>
      </c>
      <c r="H77" s="23">
        <v>22.1</v>
      </c>
    </row>
    <row r="78" spans="2:10" ht="29.85" customHeight="1">
      <c r="B78" s="23">
        <v>5</v>
      </c>
      <c r="C78" s="23">
        <v>5.0008999999999997</v>
      </c>
      <c r="D78" s="23">
        <v>22.1</v>
      </c>
      <c r="E78" s="23">
        <v>2.4994000000000001</v>
      </c>
      <c r="F78" s="23">
        <v>22.1</v>
      </c>
      <c r="G78" s="23">
        <v>0.50790000000000002</v>
      </c>
      <c r="H78" s="23">
        <v>22.1</v>
      </c>
    </row>
    <row r="79" spans="2:10" ht="29.85" customHeight="1">
      <c r="B79" s="23" t="s">
        <v>119</v>
      </c>
      <c r="C79" s="23">
        <f>AVERAGE(C74:C78)</f>
        <v>5.0072199999999993</v>
      </c>
      <c r="D79" s="23">
        <f t="shared" ref="D79:H79" si="19">AVERAGE(D74:D78)</f>
        <v>22.1</v>
      </c>
      <c r="E79" s="23">
        <f t="shared" si="19"/>
        <v>2.4994199999999998</v>
      </c>
      <c r="F79" s="23">
        <f t="shared" si="19"/>
        <v>22.1</v>
      </c>
      <c r="G79" s="23">
        <f t="shared" si="19"/>
        <v>0.50778000000000001</v>
      </c>
      <c r="H79" s="23">
        <f t="shared" si="19"/>
        <v>22.1</v>
      </c>
    </row>
    <row r="80" spans="2:10" ht="29.85" customHeight="1">
      <c r="B80" s="23" t="s">
        <v>170</v>
      </c>
      <c r="C80" s="23">
        <f>(C79/(5*J73))*100</f>
        <v>100.3752631051418</v>
      </c>
      <c r="D80" s="23"/>
      <c r="E80" s="23">
        <f>(E79/(2.5*J74))*100</f>
        <v>100.20727673649392</v>
      </c>
      <c r="F80" s="23"/>
      <c r="G80" s="23">
        <f>(G79/(0.5*J74))*100</f>
        <v>101.79011726972035</v>
      </c>
      <c r="H80" s="23"/>
    </row>
    <row r="81" spans="2:10" ht="29.85" customHeight="1">
      <c r="B81" s="23" t="s">
        <v>171</v>
      </c>
      <c r="C81" s="23">
        <f>STDEV(C74:C78)</f>
        <v>3.8453868465996668E-3</v>
      </c>
      <c r="D81" s="23"/>
      <c r="E81" s="23">
        <f t="shared" ref="E81" si="20">STDEV(E74:E78)</f>
        <v>4.0462328158425154E-3</v>
      </c>
      <c r="F81" s="23"/>
      <c r="G81" s="23">
        <f t="shared" ref="G81" si="21">STDEV(G74:G78)</f>
        <v>8.408329203831214E-4</v>
      </c>
      <c r="H81" s="23"/>
    </row>
    <row r="82" spans="2:10" ht="29.85" customHeight="1">
      <c r="B82" s="23" t="s">
        <v>172</v>
      </c>
      <c r="C82" s="23">
        <f>(C81/C79)*100</f>
        <v>7.6796842291724093E-2</v>
      </c>
      <c r="D82" s="23"/>
      <c r="E82" s="23">
        <f t="shared" ref="E82" si="22">(E81/E79)*100</f>
        <v>0.16188687038763055</v>
      </c>
      <c r="F82" s="23"/>
      <c r="G82" s="23">
        <f t="shared" ref="G82" si="23">(G81/G79)*100</f>
        <v>0.16559000362029253</v>
      </c>
      <c r="H82" s="23"/>
    </row>
    <row r="84" spans="2:10" ht="29.85" customHeight="1">
      <c r="B84" s="28" t="s">
        <v>158</v>
      </c>
      <c r="C84" t="s">
        <v>177</v>
      </c>
      <c r="E84" s="1" t="s">
        <v>160</v>
      </c>
      <c r="F84" s="6">
        <v>42942</v>
      </c>
      <c r="G84" s="1" t="s">
        <v>161</v>
      </c>
      <c r="H84" t="s">
        <v>178</v>
      </c>
    </row>
    <row r="85" spans="2:10" ht="39.75" customHeight="1">
      <c r="B85" s="21" t="s">
        <v>163</v>
      </c>
      <c r="C85" s="29" t="s">
        <v>179</v>
      </c>
      <c r="D85" s="21" t="s">
        <v>165</v>
      </c>
      <c r="E85" s="29" t="s">
        <v>180</v>
      </c>
      <c r="F85" s="21" t="s">
        <v>165</v>
      </c>
      <c r="G85" s="21" t="s">
        <v>181</v>
      </c>
      <c r="H85" s="21" t="s">
        <v>165</v>
      </c>
      <c r="I85">
        <v>21.9</v>
      </c>
      <c r="J85">
        <v>0.99780000000000002</v>
      </c>
    </row>
    <row r="86" spans="2:10" ht="29.85" customHeight="1">
      <c r="B86" s="23">
        <v>1</v>
      </c>
      <c r="C86" s="23">
        <v>9.9699999999999997E-2</v>
      </c>
      <c r="D86" s="23">
        <v>22</v>
      </c>
      <c r="E86" s="23">
        <v>4.9399999999999999E-2</v>
      </c>
      <c r="F86" s="23">
        <v>21.9</v>
      </c>
      <c r="G86" s="23">
        <v>9.9000000000000008E-3</v>
      </c>
      <c r="H86" s="23">
        <v>21.9</v>
      </c>
      <c r="I86">
        <v>22</v>
      </c>
      <c r="J86">
        <v>0.99780000000000002</v>
      </c>
    </row>
    <row r="87" spans="2:10" ht="29.85" customHeight="1">
      <c r="B87" s="23">
        <v>2</v>
      </c>
      <c r="C87" s="23">
        <v>9.9400000000000002E-2</v>
      </c>
      <c r="D87" s="23">
        <v>22</v>
      </c>
      <c r="E87" s="23">
        <v>0.05</v>
      </c>
      <c r="F87" s="23">
        <v>21.9</v>
      </c>
      <c r="G87" s="23">
        <v>0.01</v>
      </c>
      <c r="H87" s="23">
        <v>21.9</v>
      </c>
    </row>
    <row r="88" spans="2:10" ht="29.85" customHeight="1">
      <c r="B88" s="23">
        <v>3</v>
      </c>
      <c r="C88" s="23">
        <v>9.9500000000000005E-2</v>
      </c>
      <c r="D88" s="23">
        <v>22</v>
      </c>
      <c r="E88" s="23">
        <v>5.21E-2</v>
      </c>
      <c r="F88" s="23">
        <v>22</v>
      </c>
      <c r="G88" s="23">
        <v>1.01E-2</v>
      </c>
      <c r="H88" s="23">
        <v>21.9</v>
      </c>
    </row>
    <row r="89" spans="2:10" ht="29.85" customHeight="1">
      <c r="B89" s="23">
        <v>4</v>
      </c>
      <c r="C89" s="23">
        <v>9.9599999999999994E-2</v>
      </c>
      <c r="D89" s="23">
        <v>22</v>
      </c>
      <c r="E89" s="23">
        <v>4.9700000000000001E-2</v>
      </c>
      <c r="F89" s="23">
        <v>22</v>
      </c>
      <c r="G89" s="23">
        <v>0.01</v>
      </c>
      <c r="H89" s="23">
        <v>21.9</v>
      </c>
    </row>
    <row r="90" spans="2:10" ht="29.85" customHeight="1">
      <c r="B90" s="23">
        <v>5</v>
      </c>
      <c r="C90" s="23">
        <v>9.9500000000000005E-2</v>
      </c>
      <c r="D90" s="23">
        <v>22</v>
      </c>
      <c r="E90" s="23">
        <v>4.9799999999999997E-2</v>
      </c>
      <c r="F90" s="23">
        <v>22</v>
      </c>
      <c r="G90" s="23">
        <v>1.0200000000000001E-2</v>
      </c>
      <c r="H90" s="23">
        <v>21.9</v>
      </c>
    </row>
    <row r="91" spans="2:10" ht="29.85" customHeight="1">
      <c r="B91" s="23" t="s">
        <v>119</v>
      </c>
      <c r="C91" s="23">
        <f>AVERAGE(C86:C90)</f>
        <v>9.9540000000000003E-2</v>
      </c>
      <c r="D91" s="23">
        <f t="shared" ref="D91:H91" si="24">AVERAGE(D86:D90)</f>
        <v>22</v>
      </c>
      <c r="E91" s="23">
        <f t="shared" si="24"/>
        <v>5.0200000000000002E-2</v>
      </c>
      <c r="F91" s="23">
        <f t="shared" si="24"/>
        <v>21.96</v>
      </c>
      <c r="G91" s="23">
        <f t="shared" si="24"/>
        <v>1.004E-2</v>
      </c>
      <c r="H91" s="23">
        <f t="shared" si="24"/>
        <v>21.9</v>
      </c>
    </row>
    <row r="92" spans="2:10" ht="29.85" customHeight="1">
      <c r="B92" s="23" t="s">
        <v>170</v>
      </c>
      <c r="C92" s="23">
        <f>(C91/(0.1*J85))*100</f>
        <v>99.75947083583884</v>
      </c>
      <c r="D92" s="23"/>
      <c r="E92" s="23">
        <f>(E91/(0.05*J86))*100</f>
        <v>100.62136700741631</v>
      </c>
      <c r="F92" s="23"/>
      <c r="G92" s="23">
        <f>(G91/(0.01*J85))*100</f>
        <v>100.62136700741631</v>
      </c>
      <c r="H92" s="23"/>
    </row>
    <row r="93" spans="2:10" ht="29.85" customHeight="1">
      <c r="B93" s="23" t="s">
        <v>171</v>
      </c>
      <c r="C93" s="23">
        <f>STDEV(C86:C90)</f>
        <v>1.1401754250991037E-4</v>
      </c>
      <c r="D93" s="23"/>
      <c r="E93" s="23">
        <f>STDEV(E86:E90)</f>
        <v>1.0839741694339403E-3</v>
      </c>
      <c r="F93" s="23"/>
      <c r="G93" s="23">
        <f t="shared" ref="G93" si="25">STDEV(G86:G90)</f>
        <v>1.1401754250991372E-4</v>
      </c>
      <c r="H93" s="23"/>
    </row>
    <row r="94" spans="2:10" ht="29.85" customHeight="1">
      <c r="B94" s="23" t="s">
        <v>172</v>
      </c>
      <c r="C94" s="23">
        <f>(C93/C91)*100</f>
        <v>0.11454444696595376</v>
      </c>
      <c r="D94" s="23"/>
      <c r="E94" s="23">
        <f>(E93/E91)*100</f>
        <v>2.159311094489921</v>
      </c>
      <c r="F94" s="23"/>
      <c r="G94" s="23">
        <f>(G93/G91)*100</f>
        <v>1.135632893525037</v>
      </c>
      <c r="H94" s="23"/>
    </row>
    <row r="96" spans="2:10" ht="29.85" customHeight="1">
      <c r="B96" s="28" t="s">
        <v>158</v>
      </c>
      <c r="C96" t="s">
        <v>177</v>
      </c>
      <c r="E96" s="1" t="s">
        <v>160</v>
      </c>
      <c r="F96" s="6">
        <v>42942</v>
      </c>
      <c r="G96" s="1" t="s">
        <v>161</v>
      </c>
      <c r="H96" t="s">
        <v>182</v>
      </c>
    </row>
    <row r="97" spans="2:10" ht="39">
      <c r="B97" s="21" t="s">
        <v>163</v>
      </c>
      <c r="C97" s="29" t="s">
        <v>183</v>
      </c>
      <c r="D97" s="21" t="s">
        <v>165</v>
      </c>
      <c r="E97" s="29" t="s">
        <v>167</v>
      </c>
      <c r="F97" s="21" t="s">
        <v>165</v>
      </c>
      <c r="G97" s="21" t="s">
        <v>179</v>
      </c>
      <c r="H97" s="21" t="s">
        <v>165</v>
      </c>
      <c r="I97">
        <v>22</v>
      </c>
      <c r="J97">
        <v>0.99780000000000002</v>
      </c>
    </row>
    <row r="98" spans="2:10" ht="29.85" customHeight="1">
      <c r="B98" s="23">
        <v>1</v>
      </c>
      <c r="C98" s="23">
        <v>0.98609999999999998</v>
      </c>
      <c r="D98" s="23">
        <v>22.1</v>
      </c>
      <c r="E98" s="23">
        <v>0.496</v>
      </c>
      <c r="F98" s="23">
        <v>22</v>
      </c>
      <c r="G98" s="23">
        <v>0.1002</v>
      </c>
      <c r="H98" s="23">
        <v>22</v>
      </c>
      <c r="I98">
        <v>22.1</v>
      </c>
      <c r="J98">
        <v>0.99770000000000003</v>
      </c>
    </row>
    <row r="99" spans="2:10" ht="29.85" customHeight="1">
      <c r="B99" s="23">
        <v>2</v>
      </c>
      <c r="C99" s="23">
        <v>0.98360000000000003</v>
      </c>
      <c r="D99" s="23">
        <v>22.1</v>
      </c>
      <c r="E99" s="23">
        <v>0.49919999999999998</v>
      </c>
      <c r="F99" s="23">
        <v>22</v>
      </c>
      <c r="G99" s="23">
        <v>0.10150000000000001</v>
      </c>
      <c r="H99" s="23">
        <v>22</v>
      </c>
    </row>
    <row r="100" spans="2:10" ht="29.85" customHeight="1">
      <c r="B100" s="23">
        <v>3</v>
      </c>
      <c r="C100" s="23">
        <v>0.98660000000000003</v>
      </c>
      <c r="D100" s="23">
        <v>22.1</v>
      </c>
      <c r="E100" s="23">
        <v>0.49719999999999998</v>
      </c>
      <c r="F100" s="23">
        <v>22</v>
      </c>
      <c r="G100" s="23">
        <v>0.10290000000000001</v>
      </c>
      <c r="H100" s="23">
        <v>22</v>
      </c>
    </row>
    <row r="101" spans="2:10" ht="29.85" customHeight="1">
      <c r="B101" s="23">
        <v>4</v>
      </c>
      <c r="C101" s="23">
        <v>0.98370000000000002</v>
      </c>
      <c r="D101" s="23">
        <v>22.1</v>
      </c>
      <c r="E101" s="23">
        <v>0.49880000000000002</v>
      </c>
      <c r="F101" s="23">
        <v>22</v>
      </c>
      <c r="G101" s="23">
        <v>0.1031</v>
      </c>
      <c r="H101" s="23">
        <v>22</v>
      </c>
    </row>
    <row r="102" spans="2:10" ht="29.85" customHeight="1">
      <c r="B102" s="23">
        <v>5</v>
      </c>
      <c r="C102" s="23">
        <v>0.98929999999999996</v>
      </c>
      <c r="D102" s="23">
        <v>22.1</v>
      </c>
      <c r="E102" s="23">
        <v>0.49490000000000001</v>
      </c>
      <c r="F102" s="23">
        <v>22</v>
      </c>
      <c r="G102" s="23">
        <v>0.1038</v>
      </c>
      <c r="H102" s="23">
        <v>22</v>
      </c>
    </row>
    <row r="103" spans="2:10" ht="29.85" customHeight="1">
      <c r="B103" s="23" t="s">
        <v>119</v>
      </c>
      <c r="C103" s="23">
        <f>AVERAGE(C98:C102)</f>
        <v>0.98586000000000007</v>
      </c>
      <c r="D103" s="23">
        <f t="shared" ref="D103:H103" si="26">AVERAGE(D98:D102)</f>
        <v>22.1</v>
      </c>
      <c r="E103" s="23">
        <f t="shared" si="26"/>
        <v>0.49722</v>
      </c>
      <c r="F103" s="23">
        <f t="shared" si="26"/>
        <v>22</v>
      </c>
      <c r="G103" s="23">
        <f t="shared" si="26"/>
        <v>0.10229999999999999</v>
      </c>
      <c r="H103" s="23">
        <f t="shared" si="26"/>
        <v>22</v>
      </c>
    </row>
    <row r="104" spans="2:10" ht="29.85" customHeight="1">
      <c r="B104" s="23" t="s">
        <v>170</v>
      </c>
      <c r="C104" s="23">
        <f>(C103/(1*J98))*100</f>
        <v>98.813270522201066</v>
      </c>
      <c r="D104" s="23"/>
      <c r="E104" s="23">
        <f>(E103/(0.5*J97))*100</f>
        <v>99.663259170174385</v>
      </c>
      <c r="F104" s="23"/>
      <c r="G104" s="23">
        <f>(G103/(0.1*J97))*100</f>
        <v>102.52555622369211</v>
      </c>
      <c r="H104" s="23"/>
    </row>
    <row r="105" spans="2:10" ht="29.85" customHeight="1">
      <c r="B105" s="23" t="s">
        <v>171</v>
      </c>
      <c r="C105" s="23">
        <f>STDEV(C98:C102)</f>
        <v>2.3564804263986328E-3</v>
      </c>
      <c r="D105" s="23"/>
      <c r="E105" s="23">
        <f t="shared" ref="E105" si="27">STDEV(E98:E102)</f>
        <v>1.8226354544998813E-3</v>
      </c>
      <c r="F105" s="23"/>
      <c r="G105" s="23">
        <f t="shared" ref="G105" si="28">STDEV(G98:G102)</f>
        <v>1.4404860290887945E-3</v>
      </c>
      <c r="H105" s="23"/>
    </row>
    <row r="106" spans="2:10" ht="29.85" customHeight="1">
      <c r="B106" s="23" t="s">
        <v>172</v>
      </c>
      <c r="C106" s="23">
        <f>(C105/C103)*100</f>
        <v>0.23902789710492692</v>
      </c>
      <c r="D106" s="23"/>
      <c r="E106" s="23">
        <f t="shared" ref="E106" si="29">(E105/E103)*100</f>
        <v>0.36656519337514204</v>
      </c>
      <c r="F106" s="23"/>
      <c r="G106" s="23">
        <f t="shared" ref="G106" si="30">(G105/G103)*100</f>
        <v>1.4080997351796625</v>
      </c>
      <c r="H106" s="23"/>
    </row>
    <row r="108" spans="2:10" ht="29.85" customHeight="1">
      <c r="B108" s="28" t="s">
        <v>158</v>
      </c>
      <c r="C108" t="s">
        <v>184</v>
      </c>
      <c r="E108" s="1" t="s">
        <v>160</v>
      </c>
      <c r="F108" s="6">
        <v>42941</v>
      </c>
      <c r="G108" s="1" t="s">
        <v>161</v>
      </c>
      <c r="H108" t="s">
        <v>162</v>
      </c>
    </row>
    <row r="109" spans="2:10" ht="29.85" customHeight="1">
      <c r="B109" s="21" t="s">
        <v>163</v>
      </c>
      <c r="C109" s="29" t="s">
        <v>164</v>
      </c>
      <c r="D109" s="21" t="s">
        <v>165</v>
      </c>
      <c r="E109" s="29" t="s">
        <v>166</v>
      </c>
      <c r="F109" s="21" t="s">
        <v>165</v>
      </c>
      <c r="G109" s="21" t="s">
        <v>167</v>
      </c>
      <c r="H109" s="21" t="s">
        <v>165</v>
      </c>
      <c r="I109" s="23">
        <v>22.4</v>
      </c>
      <c r="J109" s="23">
        <v>0.99770000000000003</v>
      </c>
    </row>
    <row r="110" spans="2:10" ht="29.85" customHeight="1">
      <c r="B110" s="23">
        <v>1</v>
      </c>
      <c r="C110" s="23">
        <v>5.0076999999999998</v>
      </c>
      <c r="D110" s="23">
        <v>22.4</v>
      </c>
      <c r="E110" s="23">
        <v>2.5074999999999998</v>
      </c>
      <c r="F110" s="23">
        <v>22.5</v>
      </c>
      <c r="G110" s="23">
        <v>0.50719999999999998</v>
      </c>
      <c r="H110" s="23">
        <v>22.6</v>
      </c>
      <c r="I110" s="23">
        <v>22.5</v>
      </c>
      <c r="J110" s="23">
        <v>0.99770000000000003</v>
      </c>
    </row>
    <row r="111" spans="2:10" ht="29.85" customHeight="1">
      <c r="B111" s="23">
        <v>2</v>
      </c>
      <c r="C111" s="23">
        <v>5.0084999999999997</v>
      </c>
      <c r="D111" s="23">
        <v>22.4</v>
      </c>
      <c r="E111" s="23">
        <v>2.5032000000000001</v>
      </c>
      <c r="F111" s="23">
        <v>22.5</v>
      </c>
      <c r="G111" s="23">
        <v>0.50600000000000001</v>
      </c>
      <c r="H111" s="23">
        <v>22.6</v>
      </c>
      <c r="I111" s="23">
        <v>22.6</v>
      </c>
      <c r="J111" s="23">
        <v>0.99760000000000004</v>
      </c>
    </row>
    <row r="112" spans="2:10" ht="29.85" customHeight="1">
      <c r="B112" s="23">
        <v>3</v>
      </c>
      <c r="C112" s="23">
        <v>5.0125000000000002</v>
      </c>
      <c r="D112" s="23">
        <v>22.4</v>
      </c>
      <c r="E112" s="23">
        <v>2.5041000000000002</v>
      </c>
      <c r="F112" s="23">
        <v>22.5</v>
      </c>
      <c r="G112" s="23">
        <v>0.50780000000000003</v>
      </c>
      <c r="H112" s="23">
        <v>22.6</v>
      </c>
    </row>
    <row r="113" spans="2:10" ht="29.85" customHeight="1">
      <c r="B113" s="23">
        <v>4</v>
      </c>
      <c r="C113" s="23">
        <v>5.0114999999999998</v>
      </c>
      <c r="D113" s="23">
        <v>22.4</v>
      </c>
      <c r="E113" s="23">
        <v>2.5002</v>
      </c>
      <c r="F113" s="23">
        <v>22.5</v>
      </c>
      <c r="G113" s="23">
        <v>0.50760000000000005</v>
      </c>
      <c r="H113" s="23">
        <v>22.6</v>
      </c>
    </row>
    <row r="114" spans="2:10" ht="29.85" customHeight="1">
      <c r="B114" s="23">
        <v>5</v>
      </c>
      <c r="C114" s="23">
        <v>5.0031999999999996</v>
      </c>
      <c r="D114" s="23">
        <v>22.4</v>
      </c>
      <c r="E114" s="23">
        <v>2.5038</v>
      </c>
      <c r="F114" s="23">
        <v>22.5</v>
      </c>
      <c r="G114" s="23">
        <v>0.50980000000000003</v>
      </c>
      <c r="H114" s="23">
        <v>22.6</v>
      </c>
    </row>
    <row r="115" spans="2:10" ht="29.85" customHeight="1">
      <c r="B115" s="23" t="s">
        <v>119</v>
      </c>
      <c r="C115" s="23">
        <f>AVERAGE(C110:C114)</f>
        <v>5.00868</v>
      </c>
      <c r="D115" s="23">
        <f t="shared" ref="D115:H115" si="31">AVERAGE(D110:D114)</f>
        <v>22.4</v>
      </c>
      <c r="E115" s="23">
        <f t="shared" si="31"/>
        <v>2.5037600000000002</v>
      </c>
      <c r="F115" s="23">
        <f t="shared" si="31"/>
        <v>22.5</v>
      </c>
      <c r="G115" s="23">
        <f t="shared" si="31"/>
        <v>0.50768000000000002</v>
      </c>
      <c r="H115" s="23">
        <f t="shared" si="31"/>
        <v>22.6</v>
      </c>
    </row>
    <row r="116" spans="2:10" ht="29.85" customHeight="1">
      <c r="B116" s="23" t="s">
        <v>170</v>
      </c>
      <c r="C116" s="23">
        <f>(C115/(5*J109))*100</f>
        <v>100.40453041996591</v>
      </c>
      <c r="D116" s="23"/>
      <c r="E116" s="23">
        <f>(E115/(2.5*J110))*100</f>
        <v>100.381276936955</v>
      </c>
      <c r="F116" s="23"/>
      <c r="G116" s="23">
        <f>(G115/(0.5*J111))*100</f>
        <v>101.78027265437049</v>
      </c>
      <c r="H116" s="23"/>
    </row>
    <row r="117" spans="2:10" ht="29.85" customHeight="1">
      <c r="B117" s="23" t="s">
        <v>171</v>
      </c>
      <c r="C117" s="23">
        <f>STDEV(C110:C114)</f>
        <v>3.6595081636746213E-3</v>
      </c>
      <c r="D117" s="23"/>
      <c r="E117" s="23">
        <f t="shared" ref="E117" si="32">STDEV(E110:E114)</f>
        <v>2.6024987992311834E-3</v>
      </c>
      <c r="F117" s="23"/>
      <c r="G117" s="23">
        <f t="shared" ref="G117" si="33">STDEV(G110:G114)</f>
        <v>1.3754999091239635E-3</v>
      </c>
      <c r="H117" s="23"/>
    </row>
    <row r="118" spans="2:10" ht="29.85" customHeight="1">
      <c r="B118" s="23" t="s">
        <v>172</v>
      </c>
      <c r="C118" s="23">
        <f>(C117/C115)*100</f>
        <v>7.3063325340700966E-2</v>
      </c>
      <c r="D118" s="23"/>
      <c r="E118" s="23">
        <f t="shared" ref="E118" si="34">(E117/E115)*100</f>
        <v>0.10394362076361884</v>
      </c>
      <c r="F118" s="23"/>
      <c r="G118" s="23">
        <f t="shared" ref="G118" si="35">(G117/G115)*100</f>
        <v>0.27093836848486513</v>
      </c>
      <c r="H118" s="23"/>
    </row>
    <row r="120" spans="2:10" ht="29.85" customHeight="1">
      <c r="B120" s="28" t="s">
        <v>158</v>
      </c>
      <c r="C120" t="s">
        <v>184</v>
      </c>
      <c r="E120" s="1" t="s">
        <v>160</v>
      </c>
      <c r="F120" s="6">
        <v>42941</v>
      </c>
      <c r="G120" s="1" t="s">
        <v>161</v>
      </c>
      <c r="H120" t="s">
        <v>178</v>
      </c>
    </row>
    <row r="121" spans="2:10" ht="29.85" customHeight="1">
      <c r="B121" s="21" t="s">
        <v>163</v>
      </c>
      <c r="C121" s="29" t="s">
        <v>179</v>
      </c>
      <c r="D121" s="21" t="s">
        <v>165</v>
      </c>
      <c r="E121" s="29" t="s">
        <v>180</v>
      </c>
      <c r="F121" s="21" t="s">
        <v>165</v>
      </c>
      <c r="G121" s="21" t="s">
        <v>181</v>
      </c>
      <c r="H121" s="21" t="s">
        <v>165</v>
      </c>
      <c r="I121">
        <v>22.2</v>
      </c>
      <c r="J121">
        <v>0.99770000000000003</v>
      </c>
    </row>
    <row r="122" spans="2:10" ht="29.85" customHeight="1">
      <c r="B122" s="23">
        <v>1</v>
      </c>
      <c r="C122" s="23">
        <v>9.9699999999999997E-2</v>
      </c>
      <c r="D122" s="23">
        <v>22.2</v>
      </c>
      <c r="E122" s="23">
        <v>4.9599999999999998E-2</v>
      </c>
      <c r="F122" s="23">
        <v>22.2</v>
      </c>
      <c r="G122" s="23">
        <v>1.0200000000000001E-2</v>
      </c>
      <c r="H122" s="23">
        <v>22.2</v>
      </c>
    </row>
    <row r="123" spans="2:10" ht="29.85" customHeight="1">
      <c r="B123" s="23">
        <v>2</v>
      </c>
      <c r="C123" s="23">
        <v>0.10009999999999999</v>
      </c>
      <c r="D123" s="23">
        <v>22.2</v>
      </c>
      <c r="E123" s="23">
        <v>4.9700000000000001E-2</v>
      </c>
      <c r="F123" s="23">
        <v>22.2</v>
      </c>
      <c r="G123" s="23">
        <v>0.01</v>
      </c>
      <c r="H123" s="23">
        <v>22.2</v>
      </c>
    </row>
    <row r="124" spans="2:10" ht="29.85" customHeight="1">
      <c r="B124" s="23">
        <v>3</v>
      </c>
      <c r="C124" s="23">
        <v>9.9699999999999997E-2</v>
      </c>
      <c r="D124" s="23">
        <v>22.2</v>
      </c>
      <c r="E124" s="23">
        <v>4.9599999999999998E-2</v>
      </c>
      <c r="F124" s="23">
        <v>22.2</v>
      </c>
      <c r="G124" s="23">
        <v>0.01</v>
      </c>
      <c r="H124" s="23">
        <v>22.2</v>
      </c>
    </row>
    <row r="125" spans="2:10" ht="29.85" customHeight="1">
      <c r="B125" s="23">
        <v>4</v>
      </c>
      <c r="C125" s="23">
        <v>9.98E-2</v>
      </c>
      <c r="D125" s="23">
        <v>22.2</v>
      </c>
      <c r="E125" s="23">
        <v>4.9700000000000001E-2</v>
      </c>
      <c r="F125" s="23">
        <v>22.2</v>
      </c>
      <c r="G125" s="23">
        <v>9.9000000000000008E-3</v>
      </c>
      <c r="H125" s="23">
        <v>22.2</v>
      </c>
    </row>
    <row r="126" spans="2:10" ht="29.85" customHeight="1">
      <c r="B126" s="23">
        <v>5</v>
      </c>
      <c r="C126" s="23">
        <v>9.9699999999999997E-2</v>
      </c>
      <c r="D126" s="23">
        <v>22.2</v>
      </c>
      <c r="E126" s="23">
        <v>4.9599999999999998E-2</v>
      </c>
      <c r="F126" s="23">
        <v>22.2</v>
      </c>
      <c r="G126" s="23">
        <v>9.9000000000000008E-3</v>
      </c>
      <c r="H126" s="23">
        <v>22.2</v>
      </c>
    </row>
    <row r="127" spans="2:10" ht="29.85" customHeight="1">
      <c r="B127" s="23" t="s">
        <v>119</v>
      </c>
      <c r="C127" s="23">
        <f>AVERAGE(C122:C126)</f>
        <v>9.98E-2</v>
      </c>
      <c r="D127" s="23">
        <f t="shared" ref="D127:H127" si="36">AVERAGE(D122:D126)</f>
        <v>22.2</v>
      </c>
      <c r="E127" s="23">
        <f t="shared" si="36"/>
        <v>4.9640000000000004E-2</v>
      </c>
      <c r="F127" s="23">
        <f t="shared" si="36"/>
        <v>22.2</v>
      </c>
      <c r="G127" s="23">
        <f t="shared" si="36"/>
        <v>0.01</v>
      </c>
      <c r="H127" s="23">
        <f t="shared" si="36"/>
        <v>22.2</v>
      </c>
    </row>
    <row r="128" spans="2:10" ht="29.85" customHeight="1">
      <c r="B128" s="23" t="s">
        <v>170</v>
      </c>
      <c r="C128" s="23">
        <f>(C127/(0.1*J121))*100</f>
        <v>100.03006915906585</v>
      </c>
      <c r="D128" s="23"/>
      <c r="E128" s="23">
        <f>(E127/(0.05*J121))*100</f>
        <v>99.508870401924426</v>
      </c>
      <c r="F128" s="23"/>
      <c r="G128" s="23">
        <f>(G127/(0.01*J121))*100</f>
        <v>100.23053021950487</v>
      </c>
      <c r="H128" s="23"/>
    </row>
    <row r="129" spans="2:10" ht="29.85" customHeight="1">
      <c r="B129" s="23" t="s">
        <v>171</v>
      </c>
      <c r="C129" s="23">
        <f>STDEV(C122:C126)</f>
        <v>1.7320508075688667E-4</v>
      </c>
      <c r="D129" s="23"/>
      <c r="E129" s="23">
        <f t="shared" ref="E129" si="37">STDEV(E122:E126)</f>
        <v>5.4772255750518179E-5</v>
      </c>
      <c r="F129" s="23"/>
      <c r="G129" s="23">
        <f t="shared" ref="G129" si="38">STDEV(G122:G126)</f>
        <v>1.2247448713915887E-4</v>
      </c>
      <c r="H129" s="23"/>
    </row>
    <row r="130" spans="2:10" ht="29.85" customHeight="1">
      <c r="B130" s="23" t="s">
        <v>172</v>
      </c>
      <c r="C130" s="23">
        <f>(C129/C127)*100</f>
        <v>0.17355218512714096</v>
      </c>
      <c r="D130" s="23"/>
      <c r="E130" s="23">
        <f t="shared" ref="E130" si="39">(E129/E127)*100</f>
        <v>0.11033895195511317</v>
      </c>
      <c r="F130" s="23"/>
      <c r="G130" s="23">
        <f t="shared" ref="G130" si="40">(G129/G127)*100</f>
        <v>1.2247448713915885</v>
      </c>
      <c r="H130" s="23"/>
    </row>
    <row r="132" spans="2:10" ht="29.85" customHeight="1">
      <c r="B132" s="28" t="s">
        <v>158</v>
      </c>
      <c r="C132" t="s">
        <v>184</v>
      </c>
      <c r="E132" s="1" t="s">
        <v>160</v>
      </c>
      <c r="F132" s="6">
        <v>42941</v>
      </c>
      <c r="G132" s="1" t="s">
        <v>161</v>
      </c>
      <c r="H132" t="s">
        <v>182</v>
      </c>
    </row>
    <row r="133" spans="2:10" ht="29.85" customHeight="1">
      <c r="B133" s="21" t="s">
        <v>163</v>
      </c>
      <c r="C133" s="29" t="s">
        <v>183</v>
      </c>
      <c r="D133" s="21" t="s">
        <v>165</v>
      </c>
      <c r="E133" s="29" t="s">
        <v>167</v>
      </c>
      <c r="F133" s="21" t="s">
        <v>165</v>
      </c>
      <c r="G133" s="21" t="s">
        <v>179</v>
      </c>
      <c r="H133" s="21" t="s">
        <v>165</v>
      </c>
      <c r="I133">
        <v>22.2</v>
      </c>
      <c r="J133">
        <v>0.99770000000000003</v>
      </c>
    </row>
    <row r="134" spans="2:10" ht="29.85" customHeight="1">
      <c r="B134" s="23">
        <v>1</v>
      </c>
      <c r="C134" s="23">
        <v>1.0015000000000001</v>
      </c>
      <c r="D134" s="23">
        <v>22.2</v>
      </c>
      <c r="E134" s="23">
        <v>0.504</v>
      </c>
      <c r="F134" s="23">
        <v>22.3</v>
      </c>
      <c r="G134" s="23">
        <v>0.1062</v>
      </c>
      <c r="H134" s="23">
        <v>22.3</v>
      </c>
      <c r="I134">
        <v>22.3</v>
      </c>
      <c r="J134">
        <v>0.99770000000000003</v>
      </c>
    </row>
    <row r="135" spans="2:10" ht="29.85" customHeight="1">
      <c r="B135" s="23">
        <v>2</v>
      </c>
      <c r="C135" s="23">
        <v>1.0011000000000001</v>
      </c>
      <c r="D135" s="23">
        <v>22.2</v>
      </c>
      <c r="E135" s="23">
        <v>0.50270000000000004</v>
      </c>
      <c r="F135" s="23">
        <v>22.3</v>
      </c>
      <c r="G135" s="23">
        <v>0.10639999999999999</v>
      </c>
      <c r="H135" s="23">
        <v>22.3</v>
      </c>
    </row>
    <row r="136" spans="2:10" ht="29.85" customHeight="1">
      <c r="B136" s="23">
        <v>3</v>
      </c>
      <c r="C136" s="23">
        <v>1.0028999999999999</v>
      </c>
      <c r="D136" s="23">
        <v>22.2</v>
      </c>
      <c r="E136" s="23">
        <v>0.50260000000000005</v>
      </c>
      <c r="F136" s="23">
        <v>22.2</v>
      </c>
      <c r="G136" s="23">
        <v>0.1072</v>
      </c>
      <c r="H136" s="23">
        <v>22.3</v>
      </c>
    </row>
    <row r="137" spans="2:10" ht="29.85" customHeight="1">
      <c r="B137" s="23">
        <v>4</v>
      </c>
      <c r="C137" s="23">
        <v>1.0038</v>
      </c>
      <c r="D137" s="23">
        <v>22.2</v>
      </c>
      <c r="E137" s="23">
        <v>0.50370000000000004</v>
      </c>
      <c r="F137" s="23">
        <v>22.2</v>
      </c>
      <c r="G137" s="23">
        <v>0.1072</v>
      </c>
      <c r="H137" s="23">
        <v>22.3</v>
      </c>
    </row>
    <row r="138" spans="2:10" ht="29.85" customHeight="1">
      <c r="B138" s="23">
        <v>5</v>
      </c>
      <c r="C138" s="23">
        <v>1.0024</v>
      </c>
      <c r="D138" s="23">
        <v>22.2</v>
      </c>
      <c r="E138" s="23">
        <v>0.50349999999999995</v>
      </c>
      <c r="F138" s="23">
        <v>22.2</v>
      </c>
      <c r="G138" s="23">
        <v>0.107</v>
      </c>
      <c r="H138" s="23">
        <v>22.3</v>
      </c>
    </row>
    <row r="139" spans="2:10" ht="29.85" customHeight="1">
      <c r="B139" s="23" t="s">
        <v>119</v>
      </c>
      <c r="C139" s="23">
        <f>AVERAGE(C134:C138)</f>
        <v>1.0023399999999998</v>
      </c>
      <c r="D139" s="23">
        <f t="shared" ref="D139:H139" si="41">AVERAGE(D134:D138)</f>
        <v>22.2</v>
      </c>
      <c r="E139" s="23">
        <f t="shared" si="41"/>
        <v>0.50329999999999997</v>
      </c>
      <c r="F139" s="23">
        <f t="shared" si="41"/>
        <v>22.240000000000002</v>
      </c>
      <c r="G139" s="23">
        <f t="shared" si="41"/>
        <v>0.10680000000000001</v>
      </c>
      <c r="H139" s="23">
        <f t="shared" si="41"/>
        <v>22.3</v>
      </c>
    </row>
    <row r="140" spans="2:10" ht="29.85" customHeight="1">
      <c r="B140" s="23" t="s">
        <v>170</v>
      </c>
      <c r="C140" s="23">
        <f>(C139/(1*J133))*100</f>
        <v>100.46506966021849</v>
      </c>
      <c r="D140" s="23"/>
      <c r="E140" s="23">
        <f>(E139/(0.5*J133))*100</f>
        <v>100.8920517189536</v>
      </c>
      <c r="F140" s="23"/>
      <c r="G140" s="23">
        <f>(G139/(0.1*J134))*100</f>
        <v>107.04620627443117</v>
      </c>
      <c r="H140" s="23"/>
    </row>
    <row r="141" spans="2:10" ht="29.85" customHeight="1">
      <c r="B141" s="23" t="s">
        <v>171</v>
      </c>
      <c r="C141" s="23">
        <f>STDEV(C134:C138)</f>
        <v>1.0830512453249401E-3</v>
      </c>
      <c r="D141" s="23"/>
      <c r="E141" s="23">
        <f t="shared" ref="E141" si="42">STDEV(E134:E138)</f>
        <v>6.2048368229952364E-4</v>
      </c>
      <c r="F141" s="23"/>
      <c r="G141" s="23">
        <f t="shared" ref="G141" si="43">STDEV(G134:G138)</f>
        <v>4.6904157598234457E-4</v>
      </c>
      <c r="H141" s="23"/>
    </row>
    <row r="142" spans="2:10" ht="29.85" customHeight="1">
      <c r="B142" s="23" t="s">
        <v>172</v>
      </c>
      <c r="C142" s="23">
        <f>(C141/C139)*100</f>
        <v>0.10805228219216435</v>
      </c>
      <c r="D142" s="23"/>
      <c r="E142" s="23">
        <f t="shared" ref="E142" si="44">(E141/E139)*100</f>
        <v>0.12328306820972058</v>
      </c>
      <c r="F142" s="23"/>
      <c r="G142" s="23">
        <f t="shared" ref="G142" si="45">(G141/G139)*100</f>
        <v>0.43917750560144619</v>
      </c>
      <c r="H142" s="23"/>
    </row>
  </sheetData>
  <mergeCells count="20">
    <mergeCell ref="A16:A17"/>
    <mergeCell ref="G16:G17"/>
    <mergeCell ref="A18:A19"/>
    <mergeCell ref="G18:G19"/>
    <mergeCell ref="G10:G11"/>
    <mergeCell ref="P11:P12"/>
    <mergeCell ref="A12:A13"/>
    <mergeCell ref="G12:G13"/>
    <mergeCell ref="A14:A15"/>
    <mergeCell ref="G14:G15"/>
    <mergeCell ref="A4:A5"/>
    <mergeCell ref="G4:G5"/>
    <mergeCell ref="P5:P6"/>
    <mergeCell ref="A6:A7"/>
    <mergeCell ref="G6:G7"/>
    <mergeCell ref="P7:P8"/>
    <mergeCell ref="A8:A9"/>
    <mergeCell ref="G8:G9"/>
    <mergeCell ref="P9:P10"/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59" workbookViewId="0">
      <selection activeCell="G87" sqref="G87"/>
    </sheetView>
  </sheetViews>
  <sheetFormatPr defaultRowHeight="15"/>
  <cols>
    <col min="3" max="3" width="16.85546875" customWidth="1"/>
    <col min="8" max="9" width="14.85546875" customWidth="1"/>
    <col min="10" max="10" width="18.85546875" customWidth="1"/>
  </cols>
  <sheetData>
    <row r="1" spans="1:13">
      <c r="A1" s="28" t="s">
        <v>185</v>
      </c>
      <c r="B1" s="28"/>
      <c r="F1" s="28"/>
      <c r="G1" s="28"/>
      <c r="H1" s="28"/>
      <c r="I1" s="28"/>
      <c r="J1" s="28"/>
    </row>
    <row r="2" spans="1:13" ht="51.75">
      <c r="A2" s="21" t="s">
        <v>131</v>
      </c>
      <c r="B2" s="21" t="s">
        <v>186</v>
      </c>
      <c r="C2" s="29" t="s">
        <v>187</v>
      </c>
      <c r="D2" s="21" t="s">
        <v>188</v>
      </c>
      <c r="E2" s="49" t="s">
        <v>189</v>
      </c>
      <c r="F2" s="21" t="s">
        <v>190</v>
      </c>
      <c r="G2" s="49" t="s">
        <v>189</v>
      </c>
      <c r="H2" s="21" t="s">
        <v>191</v>
      </c>
      <c r="I2" s="21"/>
      <c r="J2" s="21"/>
      <c r="K2" s="49" t="s">
        <v>189</v>
      </c>
      <c r="L2" s="21" t="s">
        <v>192</v>
      </c>
      <c r="M2" s="49" t="s">
        <v>189</v>
      </c>
    </row>
    <row r="3" spans="1:13">
      <c r="A3" s="22" t="s">
        <v>140</v>
      </c>
      <c r="B3" s="23" t="s">
        <v>141</v>
      </c>
      <c r="C3" s="24">
        <v>42832.486111111109</v>
      </c>
      <c r="D3" s="31">
        <v>5.82</v>
      </c>
      <c r="E3" s="23">
        <v>23.1</v>
      </c>
      <c r="F3" s="31">
        <v>5.74</v>
      </c>
      <c r="G3" s="23">
        <v>23.5</v>
      </c>
      <c r="H3" s="31">
        <v>6.04</v>
      </c>
      <c r="I3" s="31"/>
      <c r="J3" s="31"/>
      <c r="K3" s="23">
        <v>23.6</v>
      </c>
      <c r="L3" s="31">
        <f>AVERAGE(D3,F3,H3)</f>
        <v>5.8666666666666671</v>
      </c>
      <c r="M3" s="47">
        <f>AVERAGE(E3,G3,K3)</f>
        <v>23.400000000000002</v>
      </c>
    </row>
    <row r="4" spans="1:13">
      <c r="A4" s="26"/>
      <c r="B4" s="23" t="s">
        <v>144</v>
      </c>
      <c r="C4" s="24">
        <v>42832.690972222219</v>
      </c>
      <c r="D4" s="31">
        <v>6.11</v>
      </c>
      <c r="E4" s="23">
        <v>23.2</v>
      </c>
      <c r="F4" s="31">
        <v>6.31</v>
      </c>
      <c r="G4" s="23">
        <v>23.4</v>
      </c>
      <c r="H4" s="31">
        <v>6.12</v>
      </c>
      <c r="I4" s="31"/>
      <c r="J4" s="31"/>
      <c r="K4" s="23">
        <v>23.5</v>
      </c>
      <c r="L4" s="31">
        <f>AVERAGE(D4,F4,H4)</f>
        <v>6.18</v>
      </c>
      <c r="M4" s="47">
        <f>AVERAGE(E4,G4,K4)</f>
        <v>23.366666666666664</v>
      </c>
    </row>
    <row r="5" spans="1:13">
      <c r="A5" s="22" t="s">
        <v>147</v>
      </c>
      <c r="B5" s="23" t="s">
        <v>141</v>
      </c>
      <c r="C5" s="24">
        <v>42914.461805555555</v>
      </c>
      <c r="D5" s="31">
        <v>6.2</v>
      </c>
      <c r="E5" s="23">
        <v>23.3</v>
      </c>
      <c r="F5" s="31">
        <v>6.31</v>
      </c>
      <c r="G5" s="23">
        <v>23.7</v>
      </c>
      <c r="H5" s="31">
        <v>6.43</v>
      </c>
      <c r="I5" s="31"/>
      <c r="J5" s="31"/>
      <c r="K5" s="23">
        <v>23.3</v>
      </c>
      <c r="L5" s="31">
        <f>AVERAGE(D5,F5,H5)</f>
        <v>6.3133333333333326</v>
      </c>
      <c r="M5" s="47">
        <f>AVERAGE(E5,G5,K5)</f>
        <v>23.433333333333334</v>
      </c>
    </row>
    <row r="6" spans="1:13">
      <c r="A6" s="26"/>
      <c r="B6" s="23" t="s">
        <v>144</v>
      </c>
      <c r="C6" s="50" t="s">
        <v>22</v>
      </c>
      <c r="D6" s="50" t="s">
        <v>22</v>
      </c>
      <c r="E6" s="50" t="s">
        <v>22</v>
      </c>
      <c r="F6" s="50" t="s">
        <v>22</v>
      </c>
      <c r="G6" s="50" t="s">
        <v>22</v>
      </c>
      <c r="H6" s="50" t="s">
        <v>22</v>
      </c>
      <c r="I6" s="50"/>
      <c r="J6" s="50"/>
      <c r="K6" s="50" t="s">
        <v>22</v>
      </c>
      <c r="L6" s="50" t="s">
        <v>22</v>
      </c>
      <c r="M6" s="50" t="s">
        <v>22</v>
      </c>
    </row>
    <row r="7" spans="1:13">
      <c r="A7" s="22" t="s">
        <v>152</v>
      </c>
      <c r="B7" s="23" t="s">
        <v>141</v>
      </c>
      <c r="C7" s="24">
        <v>42927.4375</v>
      </c>
      <c r="D7" s="31">
        <v>6.07</v>
      </c>
      <c r="E7" s="23">
        <v>24.2</v>
      </c>
      <c r="F7" s="31">
        <v>6.31</v>
      </c>
      <c r="G7" s="23">
        <v>24.2</v>
      </c>
      <c r="H7" s="31">
        <v>6.37</v>
      </c>
      <c r="I7" s="31"/>
      <c r="J7" s="31"/>
      <c r="K7" s="23">
        <v>24</v>
      </c>
      <c r="L7" s="31">
        <f>AVERAGE(D7,F7,H7)</f>
        <v>6.25</v>
      </c>
      <c r="M7" s="47">
        <f>AVERAGE(E7,G7,K7)</f>
        <v>24.133333333333336</v>
      </c>
    </row>
    <row r="8" spans="1:13">
      <c r="A8" s="26"/>
      <c r="B8" s="23" t="s">
        <v>144</v>
      </c>
      <c r="C8" s="24">
        <v>42927.524305555555</v>
      </c>
      <c r="D8" s="31">
        <v>6.02</v>
      </c>
      <c r="E8" s="23">
        <v>24.2</v>
      </c>
      <c r="F8" s="31">
        <v>6.18</v>
      </c>
      <c r="G8" s="23">
        <v>24.7</v>
      </c>
      <c r="H8" s="31">
        <v>6.39</v>
      </c>
      <c r="I8" s="31"/>
      <c r="J8" s="31"/>
      <c r="K8" s="23">
        <v>23.8</v>
      </c>
      <c r="L8" s="31">
        <f>AVERAGE(D8,F8,H8)</f>
        <v>6.1966666666666663</v>
      </c>
      <c r="M8" s="47">
        <f>AVERAGE(E8,G8,K8)</f>
        <v>24.233333333333334</v>
      </c>
    </row>
    <row r="9" spans="1:13">
      <c r="A9" s="22" t="s">
        <v>153</v>
      </c>
      <c r="B9" s="23" t="s">
        <v>141</v>
      </c>
      <c r="C9" s="24">
        <v>42934.440972222219</v>
      </c>
      <c r="D9" s="31">
        <v>6.12</v>
      </c>
      <c r="E9" s="23">
        <v>23.6</v>
      </c>
      <c r="F9" s="31">
        <v>6.3</v>
      </c>
      <c r="G9" s="23">
        <v>23.5</v>
      </c>
      <c r="H9" s="31">
        <v>6.47</v>
      </c>
      <c r="I9" s="31"/>
      <c r="J9" s="31"/>
      <c r="K9" s="23">
        <v>23.5</v>
      </c>
      <c r="L9" s="31">
        <f>AVERAGE(D9,F9,H9)</f>
        <v>6.2966666666666669</v>
      </c>
      <c r="M9" s="47">
        <f>AVERAGE(E9,G9,K9)</f>
        <v>23.533333333333331</v>
      </c>
    </row>
    <row r="10" spans="1:13">
      <c r="A10" s="26"/>
      <c r="B10" s="23" t="s">
        <v>144</v>
      </c>
      <c r="C10" s="24">
        <v>42934.524305555555</v>
      </c>
      <c r="D10" s="31">
        <v>6.22</v>
      </c>
      <c r="E10" s="23">
        <v>24.1</v>
      </c>
      <c r="F10" s="31">
        <v>6.25</v>
      </c>
      <c r="G10" s="23">
        <v>24.5</v>
      </c>
      <c r="H10" s="31">
        <v>6.48</v>
      </c>
      <c r="I10" s="31"/>
      <c r="J10" s="31"/>
      <c r="K10" s="23">
        <v>24</v>
      </c>
      <c r="L10" s="31">
        <f>AVERAGE(D10,F10,H10)</f>
        <v>6.3166666666666664</v>
      </c>
      <c r="M10" s="47">
        <f>AVERAGE(E10,G10,K10)</f>
        <v>24.2</v>
      </c>
    </row>
    <row r="12" spans="1:13">
      <c r="A12" s="28" t="s">
        <v>193</v>
      </c>
    </row>
    <row r="14" spans="1:13" ht="39">
      <c r="A14" s="29" t="s">
        <v>0</v>
      </c>
      <c r="B14" s="29" t="s">
        <v>1</v>
      </c>
      <c r="C14" s="29" t="s">
        <v>194</v>
      </c>
      <c r="D14" s="29" t="s">
        <v>189</v>
      </c>
      <c r="E14" s="29" t="s">
        <v>195</v>
      </c>
      <c r="F14" s="21" t="s">
        <v>196</v>
      </c>
      <c r="G14" s="29" t="s">
        <v>197</v>
      </c>
      <c r="H14" s="29" t="s">
        <v>198</v>
      </c>
      <c r="I14" s="29" t="s">
        <v>199</v>
      </c>
      <c r="J14" s="51" t="s">
        <v>200</v>
      </c>
    </row>
    <row r="15" spans="1:13">
      <c r="A15" s="52" t="s">
        <v>18</v>
      </c>
      <c r="B15" s="23" t="s">
        <v>19</v>
      </c>
      <c r="C15" s="31">
        <v>9.24</v>
      </c>
      <c r="D15" s="47">
        <v>24.2</v>
      </c>
      <c r="E15" s="47"/>
      <c r="F15" s="31">
        <f>AVERAGE(C15:C17)</f>
        <v>9.2266666666666666</v>
      </c>
      <c r="G15" s="31">
        <f>STDEV(C15:C17)</f>
        <v>1.154700538379227E-2</v>
      </c>
      <c r="H15" s="31"/>
      <c r="I15" s="31"/>
      <c r="J15" s="53">
        <f>AVERAGE(D15:D17)</f>
        <v>24.333333333333332</v>
      </c>
    </row>
    <row r="16" spans="1:13">
      <c r="A16" s="54"/>
      <c r="B16" s="23" t="s">
        <v>24</v>
      </c>
      <c r="C16" s="31">
        <v>9.2200000000000006</v>
      </c>
      <c r="D16" s="47">
        <v>24.1</v>
      </c>
      <c r="E16" s="47"/>
      <c r="F16" s="23"/>
      <c r="G16" s="23"/>
      <c r="H16" s="23"/>
      <c r="I16" s="23"/>
      <c r="J16" s="55"/>
    </row>
    <row r="17" spans="1:10">
      <c r="A17" s="54"/>
      <c r="B17" s="23" t="s">
        <v>25</v>
      </c>
      <c r="C17" s="31">
        <v>9.2200000000000006</v>
      </c>
      <c r="D17" s="47">
        <v>24.7</v>
      </c>
      <c r="E17" s="47"/>
      <c r="F17" s="23"/>
      <c r="G17" s="23"/>
      <c r="H17" s="23"/>
      <c r="I17" s="23"/>
      <c r="J17" s="55"/>
    </row>
    <row r="18" spans="1:10">
      <c r="A18" s="54"/>
      <c r="B18" s="23" t="s">
        <v>26</v>
      </c>
      <c r="C18" s="31">
        <v>6.06</v>
      </c>
      <c r="D18" s="47">
        <v>24.6</v>
      </c>
      <c r="E18" s="47"/>
      <c r="F18" s="31">
        <f>AVERAGE(C18:C19)</f>
        <v>6.2050000000000001</v>
      </c>
      <c r="G18" s="31">
        <f>STDEV(C18:C19)</f>
        <v>0.2050609665440988</v>
      </c>
      <c r="H18" s="56">
        <f>AVERAGE(C18:C19,C23:C24)</f>
        <v>6.1725000000000003</v>
      </c>
      <c r="I18" s="31">
        <f>STDEV(C18:C19,C23:C24)</f>
        <v>0.13351029922818683</v>
      </c>
      <c r="J18" s="53">
        <f>AVERAGE(D18:D19)</f>
        <v>23.8</v>
      </c>
    </row>
    <row r="19" spans="1:10">
      <c r="A19" s="54"/>
      <c r="B19" s="23" t="s">
        <v>28</v>
      </c>
      <c r="C19" s="31">
        <v>6.35</v>
      </c>
      <c r="D19" s="47">
        <v>23</v>
      </c>
      <c r="E19" s="47"/>
      <c r="F19" s="23"/>
      <c r="G19" s="23"/>
      <c r="H19" s="23"/>
      <c r="I19" s="23"/>
      <c r="J19" s="55"/>
    </row>
    <row r="20" spans="1:10">
      <c r="A20" s="54"/>
      <c r="B20" s="23" t="s">
        <v>29</v>
      </c>
      <c r="C20" s="31">
        <v>9.09</v>
      </c>
      <c r="D20" s="47">
        <v>24.3</v>
      </c>
      <c r="E20" s="47"/>
      <c r="F20" s="31">
        <f>AVERAGE(C20:C22)</f>
        <v>9.15</v>
      </c>
      <c r="G20" s="31">
        <f>STDEV(C20:C22)</f>
        <v>8.4852813742386402E-2</v>
      </c>
      <c r="H20" s="31"/>
      <c r="I20" s="31"/>
      <c r="J20" s="53">
        <f>AVERAGE(D20:D22)</f>
        <v>24.55</v>
      </c>
    </row>
    <row r="21" spans="1:10">
      <c r="A21" s="54"/>
      <c r="B21" s="23" t="s">
        <v>31</v>
      </c>
      <c r="C21" s="31">
        <v>9.2100000000000009</v>
      </c>
      <c r="D21" s="47">
        <v>24.8</v>
      </c>
      <c r="E21" s="47"/>
      <c r="F21" s="23"/>
      <c r="G21" s="23"/>
      <c r="H21" s="23"/>
      <c r="I21" s="23"/>
      <c r="J21" s="55"/>
    </row>
    <row r="22" spans="1:10">
      <c r="A22" s="54"/>
      <c r="B22" s="57" t="s">
        <v>32</v>
      </c>
      <c r="C22" s="58" t="s">
        <v>201</v>
      </c>
      <c r="D22" s="59"/>
      <c r="E22" s="59" t="s">
        <v>202</v>
      </c>
      <c r="F22" s="57"/>
      <c r="G22" s="57"/>
      <c r="H22" s="57"/>
      <c r="I22" s="57"/>
      <c r="J22" s="60"/>
    </row>
    <row r="23" spans="1:10">
      <c r="A23" s="54"/>
      <c r="B23" s="61" t="s">
        <v>33</v>
      </c>
      <c r="C23" s="56">
        <v>6.08</v>
      </c>
      <c r="D23" s="62">
        <v>24.8</v>
      </c>
      <c r="E23" s="62"/>
      <c r="F23" s="56">
        <f>AVERAGE(C23:C24)</f>
        <v>6.1400000000000006</v>
      </c>
      <c r="G23" s="56">
        <f>STDEV(C23:C24)</f>
        <v>8.4852813742385777E-2</v>
      </c>
      <c r="H23" s="56"/>
      <c r="I23" s="56"/>
      <c r="J23" s="63">
        <f>AVERAGE(D23:D24)</f>
        <v>24.450000000000003</v>
      </c>
    </row>
    <row r="24" spans="1:10">
      <c r="A24" s="64"/>
      <c r="B24" s="23" t="s">
        <v>34</v>
      </c>
      <c r="C24" s="31">
        <v>6.2</v>
      </c>
      <c r="D24" s="47">
        <v>24.1</v>
      </c>
      <c r="E24" s="47"/>
      <c r="F24" s="23"/>
      <c r="G24" s="23"/>
      <c r="H24" s="23"/>
      <c r="I24" s="23"/>
      <c r="J24" s="55"/>
    </row>
    <row r="25" spans="1:10">
      <c r="A25" s="65" t="s">
        <v>35</v>
      </c>
      <c r="B25" s="23" t="s">
        <v>36</v>
      </c>
      <c r="C25" s="31">
        <v>9.27</v>
      </c>
      <c r="D25" s="47">
        <v>24.9</v>
      </c>
      <c r="E25" s="47"/>
      <c r="F25" s="31">
        <f>AVERAGE(C25:C27)</f>
        <v>9.2333333333333325</v>
      </c>
      <c r="G25" s="31">
        <f>STDEV(C25:C27)</f>
        <v>3.5118845842842555E-2</v>
      </c>
      <c r="H25" s="31"/>
      <c r="I25" s="31"/>
      <c r="J25" s="53">
        <f>AVERAGE(D25:D27)</f>
        <v>24.7</v>
      </c>
    </row>
    <row r="26" spans="1:10">
      <c r="A26" s="66"/>
      <c r="B26" s="23" t="s">
        <v>38</v>
      </c>
      <c r="C26" s="31">
        <v>9.1999999999999993</v>
      </c>
      <c r="D26" s="47">
        <v>24.5</v>
      </c>
      <c r="E26" s="47"/>
      <c r="F26" s="23"/>
      <c r="G26" s="23"/>
      <c r="H26" s="23"/>
      <c r="I26" s="23"/>
      <c r="J26" s="55"/>
    </row>
    <row r="27" spans="1:10">
      <c r="A27" s="66"/>
      <c r="B27" s="23" t="s">
        <v>39</v>
      </c>
      <c r="C27" s="31">
        <v>9.23</v>
      </c>
      <c r="D27" s="47">
        <v>24.7</v>
      </c>
      <c r="E27" s="47"/>
      <c r="F27" s="23"/>
      <c r="G27" s="23"/>
      <c r="H27" s="23"/>
      <c r="I27" s="23"/>
      <c r="J27" s="55"/>
    </row>
    <row r="28" spans="1:10">
      <c r="A28" s="66"/>
      <c r="B28" s="23" t="s">
        <v>40</v>
      </c>
      <c r="C28" s="31">
        <v>6.09</v>
      </c>
      <c r="D28" s="47">
        <v>23.7</v>
      </c>
      <c r="E28" s="47"/>
      <c r="F28" s="31">
        <f>AVERAGE(C28:C29)</f>
        <v>6.08</v>
      </c>
      <c r="G28" s="31">
        <f>STDEV(C28:C29)</f>
        <v>1.4142135623730649E-2</v>
      </c>
      <c r="H28" s="31">
        <f>AVERAGE(C28:C29,C33:C34)</f>
        <v>6.0650000000000004</v>
      </c>
      <c r="I28" s="31">
        <f>STDEV(C28:C29,C33:C34)</f>
        <v>2.5166114784235707E-2</v>
      </c>
      <c r="J28" s="53">
        <f>AVERAGE(D28:D29)</f>
        <v>24</v>
      </c>
    </row>
    <row r="29" spans="1:10">
      <c r="A29" s="66"/>
      <c r="B29" s="23" t="s">
        <v>41</v>
      </c>
      <c r="C29" s="31">
        <v>6.07</v>
      </c>
      <c r="D29" s="47">
        <v>24.3</v>
      </c>
      <c r="E29" s="47"/>
      <c r="F29" s="23"/>
      <c r="G29" s="23"/>
      <c r="H29" s="23"/>
      <c r="I29" s="23"/>
      <c r="J29" s="55"/>
    </row>
    <row r="30" spans="1:10">
      <c r="A30" s="66"/>
      <c r="B30" s="23" t="s">
        <v>42</v>
      </c>
      <c r="C30" s="31">
        <v>9.2100000000000009</v>
      </c>
      <c r="D30" s="47">
        <v>24.8</v>
      </c>
      <c r="E30" s="47"/>
      <c r="F30" s="31">
        <f>AVERAGE(C30:C32)</f>
        <v>9.1866666666666656</v>
      </c>
      <c r="G30" s="31">
        <f>STDEV(C30:C32)</f>
        <v>2.516611478423612E-2</v>
      </c>
      <c r="H30" s="31"/>
      <c r="I30" s="31"/>
      <c r="J30" s="53">
        <f>AVERAGE(D30:D32)</f>
        <v>24.600000000000005</v>
      </c>
    </row>
    <row r="31" spans="1:10">
      <c r="A31" s="66"/>
      <c r="B31" s="23" t="s">
        <v>43</v>
      </c>
      <c r="C31" s="31">
        <v>9.19</v>
      </c>
      <c r="D31" s="47">
        <v>24.4</v>
      </c>
      <c r="E31" s="47"/>
      <c r="F31" s="23"/>
      <c r="G31" s="23"/>
      <c r="H31" s="23"/>
      <c r="I31" s="23"/>
      <c r="J31" s="55"/>
    </row>
    <row r="32" spans="1:10">
      <c r="A32" s="66"/>
      <c r="B32" s="23" t="s">
        <v>44</v>
      </c>
      <c r="C32" s="31">
        <v>9.16</v>
      </c>
      <c r="D32" s="47">
        <v>24.6</v>
      </c>
      <c r="E32" s="47"/>
      <c r="F32" s="23"/>
      <c r="G32" s="23"/>
      <c r="H32" s="23"/>
      <c r="I32" s="23"/>
      <c r="J32" s="55"/>
    </row>
    <row r="33" spans="1:10">
      <c r="A33" s="66"/>
      <c r="B33" s="23" t="s">
        <v>45</v>
      </c>
      <c r="C33" s="31">
        <v>6.07</v>
      </c>
      <c r="D33" s="47">
        <v>24.4</v>
      </c>
      <c r="E33" s="47"/>
      <c r="F33" s="31">
        <f>AVERAGE(C33:C34)</f>
        <v>6.0500000000000007</v>
      </c>
      <c r="G33" s="31">
        <f>STDEV(C33:C34)</f>
        <v>2.8284271247461926E-2</v>
      </c>
      <c r="H33" s="31"/>
      <c r="I33" s="31"/>
      <c r="J33" s="53">
        <f>AVERAGE(D33:D34)</f>
        <v>24.35</v>
      </c>
    </row>
    <row r="34" spans="1:10">
      <c r="A34" s="67"/>
      <c r="B34" s="23" t="s">
        <v>46</v>
      </c>
      <c r="C34" s="31">
        <v>6.03</v>
      </c>
      <c r="D34" s="47">
        <v>24.3</v>
      </c>
      <c r="E34" s="47"/>
      <c r="F34" s="23"/>
      <c r="G34" s="23"/>
      <c r="H34" s="23"/>
      <c r="I34" s="23"/>
      <c r="J34" s="55"/>
    </row>
    <row r="35" spans="1:10">
      <c r="A35" s="65" t="s">
        <v>47</v>
      </c>
      <c r="B35" s="23" t="s">
        <v>48</v>
      </c>
      <c r="C35" s="31">
        <v>9.18</v>
      </c>
      <c r="D35" s="68">
        <v>25.2</v>
      </c>
      <c r="E35" s="69"/>
      <c r="F35" s="31">
        <f>AVERAGE(C35:C37)</f>
        <v>9.17</v>
      </c>
      <c r="G35" s="31">
        <f>STDEV(C35:C37)</f>
        <v>9.9999999999997868E-3</v>
      </c>
      <c r="H35" s="31"/>
      <c r="I35" s="31"/>
      <c r="J35" s="53">
        <f>AVERAGE(D35:D37)</f>
        <v>25.033333333333331</v>
      </c>
    </row>
    <row r="36" spans="1:10">
      <c r="A36" s="66"/>
      <c r="B36" s="23" t="s">
        <v>49</v>
      </c>
      <c r="C36" s="31">
        <v>9.16</v>
      </c>
      <c r="D36" s="47">
        <v>24.9</v>
      </c>
      <c r="E36" s="47"/>
      <c r="F36" s="23"/>
      <c r="G36" s="23"/>
      <c r="H36" s="23"/>
      <c r="I36" s="23"/>
      <c r="J36" s="55"/>
    </row>
    <row r="37" spans="1:10">
      <c r="A37" s="66"/>
      <c r="B37" s="23" t="s">
        <v>50</v>
      </c>
      <c r="C37" s="31">
        <v>9.17</v>
      </c>
      <c r="D37" s="47">
        <v>25</v>
      </c>
      <c r="E37" s="47"/>
      <c r="F37" s="23"/>
      <c r="G37" s="23"/>
      <c r="H37" s="23"/>
      <c r="I37" s="23"/>
      <c r="J37" s="55"/>
    </row>
    <row r="38" spans="1:10">
      <c r="A38" s="66"/>
      <c r="B38" s="23" t="s">
        <v>51</v>
      </c>
      <c r="C38" s="31">
        <v>6.22</v>
      </c>
      <c r="D38" s="47">
        <v>25</v>
      </c>
      <c r="E38" s="47"/>
      <c r="F38" s="31">
        <f>AVERAGE(C38:C39)</f>
        <v>6.2149999999999999</v>
      </c>
      <c r="G38" s="31">
        <f>STDEV(C38:C39)</f>
        <v>7.0710678118653244E-3</v>
      </c>
      <c r="H38" s="31">
        <f>AVERAGE(C38:C39,C43:C44)</f>
        <v>6.0475000000000003</v>
      </c>
      <c r="I38" s="31">
        <f>STDEV(C38:C39,C43:C44)</f>
        <v>0.27536339626028739</v>
      </c>
      <c r="J38" s="53">
        <f>AVERAGE(D38:D39)</f>
        <v>25.1</v>
      </c>
    </row>
    <row r="39" spans="1:10">
      <c r="A39" s="66"/>
      <c r="B39" s="23" t="s">
        <v>52</v>
      </c>
      <c r="C39" s="31">
        <v>6.21</v>
      </c>
      <c r="D39" s="47">
        <v>25.2</v>
      </c>
      <c r="E39" s="47"/>
      <c r="F39" s="23"/>
      <c r="G39" s="23"/>
      <c r="H39" s="23"/>
      <c r="I39" s="23"/>
      <c r="J39" s="55"/>
    </row>
    <row r="40" spans="1:10">
      <c r="A40" s="66"/>
      <c r="B40" s="23" t="s">
        <v>53</v>
      </c>
      <c r="C40" s="31">
        <v>9.1199999999999992</v>
      </c>
      <c r="D40" s="47">
        <v>25.1</v>
      </c>
      <c r="E40" s="47"/>
      <c r="F40" s="31">
        <f>AVERAGE(C40:C42)</f>
        <v>9.1266666666666669</v>
      </c>
      <c r="G40" s="31">
        <f>STDEV(C40:C42)</f>
        <v>5.77350269189716E-3</v>
      </c>
      <c r="H40" s="31"/>
      <c r="I40" s="31"/>
      <c r="J40" s="53">
        <f>AVERAGE(D40:D42)</f>
        <v>25.3</v>
      </c>
    </row>
    <row r="41" spans="1:10">
      <c r="A41" s="66"/>
      <c r="B41" s="23" t="s">
        <v>54</v>
      </c>
      <c r="C41" s="31">
        <v>9.1300000000000008</v>
      </c>
      <c r="D41" s="47">
        <v>25.6</v>
      </c>
      <c r="E41" s="47"/>
      <c r="F41" s="23"/>
      <c r="G41" s="23"/>
      <c r="H41" s="23"/>
      <c r="I41" s="23"/>
      <c r="J41" s="55"/>
    </row>
    <row r="42" spans="1:10">
      <c r="A42" s="66"/>
      <c r="B42" s="23" t="s">
        <v>55</v>
      </c>
      <c r="C42" s="31">
        <v>9.1300000000000008</v>
      </c>
      <c r="D42" s="47">
        <v>25.2</v>
      </c>
      <c r="E42" s="47"/>
      <c r="F42" s="23"/>
      <c r="G42" s="23"/>
      <c r="H42" s="23"/>
      <c r="I42" s="23"/>
      <c r="J42" s="55"/>
    </row>
    <row r="43" spans="1:10">
      <c r="A43" s="66"/>
      <c r="B43" s="23" t="s">
        <v>56</v>
      </c>
      <c r="C43" s="31">
        <v>6.12</v>
      </c>
      <c r="D43" s="47">
        <v>25.6</v>
      </c>
      <c r="E43" s="47"/>
      <c r="F43" s="31">
        <f>AVERAGE(C43:C44)</f>
        <v>5.88</v>
      </c>
      <c r="G43" s="31">
        <f>STDEV(C43:C44)</f>
        <v>0.33941125496954311</v>
      </c>
      <c r="H43" s="31"/>
      <c r="I43" s="31"/>
      <c r="J43" s="53">
        <f>AVERAGE(D43:D44)</f>
        <v>24.65</v>
      </c>
    </row>
    <row r="44" spans="1:10">
      <c r="A44" s="67"/>
      <c r="B44" s="23" t="s">
        <v>57</v>
      </c>
      <c r="C44" s="31">
        <v>5.64</v>
      </c>
      <c r="D44" s="47">
        <v>23.7</v>
      </c>
      <c r="E44" s="47"/>
      <c r="F44" s="23"/>
      <c r="G44" s="23"/>
      <c r="H44" s="23"/>
      <c r="I44" s="23"/>
      <c r="J44" s="55"/>
    </row>
    <row r="45" spans="1:10">
      <c r="A45" s="65" t="s">
        <v>58</v>
      </c>
      <c r="B45" s="23" t="s">
        <v>59</v>
      </c>
      <c r="C45" s="31">
        <v>9.2100000000000009</v>
      </c>
      <c r="D45" s="47">
        <v>24.9</v>
      </c>
      <c r="E45" s="47"/>
      <c r="F45" s="31">
        <f>AVERAGE(C45:C47)</f>
        <v>9.1166666666666671</v>
      </c>
      <c r="G45" s="31">
        <f>STDEV(C45:C47)</f>
        <v>8.1445278152471073E-2</v>
      </c>
      <c r="H45" s="31"/>
      <c r="I45" s="31"/>
      <c r="J45" s="53">
        <f>AVERAGE(D45:D47)</f>
        <v>24.966666666666669</v>
      </c>
    </row>
    <row r="46" spans="1:10">
      <c r="A46" s="66"/>
      <c r="B46" s="23" t="s">
        <v>60</v>
      </c>
      <c r="C46" s="31">
        <v>9.08</v>
      </c>
      <c r="D46" s="47">
        <v>25</v>
      </c>
      <c r="E46" s="47"/>
      <c r="F46" s="23"/>
      <c r="G46" s="23"/>
      <c r="H46" s="23"/>
      <c r="I46" s="23"/>
      <c r="J46" s="55"/>
    </row>
    <row r="47" spans="1:10">
      <c r="A47" s="66"/>
      <c r="B47" s="23" t="s">
        <v>61</v>
      </c>
      <c r="C47" s="31">
        <v>9.06</v>
      </c>
      <c r="D47" s="47">
        <v>25</v>
      </c>
      <c r="E47" s="47"/>
      <c r="F47" s="23"/>
      <c r="G47" s="23"/>
      <c r="H47" s="23"/>
      <c r="I47" s="23"/>
      <c r="J47" s="55"/>
    </row>
    <row r="48" spans="1:10">
      <c r="A48" s="66"/>
      <c r="B48" s="23" t="s">
        <v>62</v>
      </c>
      <c r="C48" s="31">
        <v>5.6</v>
      </c>
      <c r="D48" s="47">
        <v>24.8</v>
      </c>
      <c r="E48" s="47" t="s">
        <v>203</v>
      </c>
      <c r="F48" s="31">
        <f>AVERAGE(C48:C49)</f>
        <v>5.7349999999999994</v>
      </c>
      <c r="G48" s="31">
        <f>STDEV(C48:C49)</f>
        <v>0.19091883092036815</v>
      </c>
      <c r="H48" s="31">
        <f>AVERAGE(C48:C49,C53:C54)</f>
        <v>5.9224999999999994</v>
      </c>
      <c r="I48" s="31">
        <f>STDEV(C48:C49,C53:C54)</f>
        <v>0.24784067462787468</v>
      </c>
      <c r="J48" s="53">
        <f>AVERAGE(D48:D49)</f>
        <v>24.85</v>
      </c>
    </row>
    <row r="49" spans="1:10">
      <c r="A49" s="66"/>
      <c r="B49" s="23" t="s">
        <v>63</v>
      </c>
      <c r="C49" s="31">
        <v>5.87</v>
      </c>
      <c r="D49" s="47">
        <v>24.9</v>
      </c>
      <c r="E49" s="47"/>
      <c r="F49" s="23"/>
      <c r="G49" s="23"/>
      <c r="H49" s="23"/>
      <c r="I49" s="23"/>
      <c r="J49" s="55"/>
    </row>
    <row r="50" spans="1:10">
      <c r="A50" s="66"/>
      <c r="B50" s="23" t="s">
        <v>64</v>
      </c>
      <c r="C50" s="31">
        <v>9.06</v>
      </c>
      <c r="D50" s="47">
        <v>25.3</v>
      </c>
      <c r="E50" s="47"/>
      <c r="F50" s="31">
        <f>AVERAGE(C50:C52)</f>
        <v>9.0433333333333348</v>
      </c>
      <c r="G50" s="31">
        <f>STDEV(C50:C52)</f>
        <v>2.88675134594817E-2</v>
      </c>
      <c r="H50" s="31"/>
      <c r="I50" s="31"/>
      <c r="J50" s="53">
        <f>AVERAGE(D50:D52)</f>
        <v>25.466666666666669</v>
      </c>
    </row>
    <row r="51" spans="1:10">
      <c r="A51" s="66"/>
      <c r="B51" s="23" t="s">
        <v>65</v>
      </c>
      <c r="C51" s="31">
        <v>9.06</v>
      </c>
      <c r="D51" s="47">
        <v>25.2</v>
      </c>
      <c r="E51" s="47"/>
      <c r="F51" s="23"/>
      <c r="G51" s="23"/>
      <c r="H51" s="23"/>
      <c r="I51" s="23"/>
      <c r="J51" s="55"/>
    </row>
    <row r="52" spans="1:10">
      <c r="A52" s="66"/>
      <c r="B52" s="23" t="s">
        <v>66</v>
      </c>
      <c r="C52" s="31">
        <v>9.01</v>
      </c>
      <c r="D52" s="47">
        <v>25.9</v>
      </c>
      <c r="E52" s="47"/>
      <c r="F52" s="23"/>
      <c r="G52" s="23"/>
      <c r="H52" s="23"/>
      <c r="I52" s="23"/>
      <c r="J52" s="55"/>
    </row>
    <row r="53" spans="1:10">
      <c r="A53" s="66"/>
      <c r="B53" s="23" t="s">
        <v>67</v>
      </c>
      <c r="C53" s="31">
        <v>6.05</v>
      </c>
      <c r="D53" s="68">
        <v>25.6</v>
      </c>
      <c r="E53" s="69"/>
      <c r="F53" s="31">
        <f>AVERAGE(C53:C54)</f>
        <v>6.1099999999999994</v>
      </c>
      <c r="G53" s="31">
        <f>STDEV(C53:C54)</f>
        <v>8.4852813742385777E-2</v>
      </c>
      <c r="H53" s="31"/>
      <c r="I53" s="31"/>
      <c r="J53" s="53">
        <f>AVERAGE(D53:D54)</f>
        <v>25.35</v>
      </c>
    </row>
    <row r="54" spans="1:10">
      <c r="A54" s="67"/>
      <c r="B54" s="23" t="s">
        <v>68</v>
      </c>
      <c r="C54" s="31">
        <v>6.17</v>
      </c>
      <c r="D54" s="47">
        <v>25.1</v>
      </c>
      <c r="E54" s="47"/>
      <c r="F54" s="23"/>
      <c r="G54" s="23"/>
      <c r="H54" s="70"/>
      <c r="I54" s="70"/>
      <c r="J54" s="55"/>
    </row>
    <row r="55" spans="1:10">
      <c r="A55" s="71" t="s">
        <v>193</v>
      </c>
      <c r="B55" s="72"/>
      <c r="C55" s="72"/>
      <c r="D55" s="73"/>
      <c r="E55" s="73"/>
      <c r="F55" s="72"/>
      <c r="G55" s="72"/>
      <c r="H55" s="72"/>
      <c r="I55" s="72"/>
      <c r="J55" s="72"/>
    </row>
    <row r="56" spans="1:10" ht="39">
      <c r="A56" s="74" t="s">
        <v>0</v>
      </c>
      <c r="B56" s="74" t="s">
        <v>1</v>
      </c>
      <c r="C56" s="75" t="s">
        <v>194</v>
      </c>
      <c r="D56" s="74" t="s">
        <v>189</v>
      </c>
      <c r="E56" s="74" t="s">
        <v>195</v>
      </c>
      <c r="F56" s="76" t="s">
        <v>196</v>
      </c>
      <c r="G56" s="29" t="s">
        <v>197</v>
      </c>
      <c r="H56" s="29" t="s">
        <v>198</v>
      </c>
      <c r="I56" s="29" t="s">
        <v>199</v>
      </c>
      <c r="J56" s="77" t="s">
        <v>200</v>
      </c>
    </row>
    <row r="57" spans="1:10">
      <c r="A57" s="78" t="s">
        <v>18</v>
      </c>
      <c r="B57" s="23" t="s">
        <v>69</v>
      </c>
      <c r="C57" s="79">
        <v>9.23</v>
      </c>
      <c r="D57" s="68">
        <v>26.2</v>
      </c>
      <c r="E57" s="23"/>
      <c r="F57" s="56">
        <f>AVERAGE(C57:C59)</f>
        <v>9.2166666666666668</v>
      </c>
      <c r="G57" s="56">
        <f>STDEV(C57:C59)</f>
        <v>2.3094010767585563E-2</v>
      </c>
      <c r="H57" s="56"/>
      <c r="I57" s="23"/>
      <c r="J57" s="63">
        <f>AVERAGE(D57:D59)</f>
        <v>25.866666666666664</v>
      </c>
    </row>
    <row r="58" spans="1:10">
      <c r="A58" s="78"/>
      <c r="B58" s="23" t="s">
        <v>71</v>
      </c>
      <c r="C58" s="79">
        <v>9.23</v>
      </c>
      <c r="D58" s="68">
        <v>26</v>
      </c>
      <c r="E58" s="23"/>
      <c r="F58" s="23"/>
      <c r="G58" s="23"/>
      <c r="H58" s="23"/>
      <c r="I58" s="23"/>
      <c r="J58" s="55"/>
    </row>
    <row r="59" spans="1:10">
      <c r="A59" s="78"/>
      <c r="B59" s="61" t="s">
        <v>72</v>
      </c>
      <c r="C59" s="80">
        <v>9.19</v>
      </c>
      <c r="D59" s="81">
        <v>25.4</v>
      </c>
      <c r="E59" s="61"/>
      <c r="F59" s="61"/>
      <c r="G59" s="61"/>
      <c r="H59" s="61"/>
      <c r="I59" s="23"/>
      <c r="J59" s="82"/>
    </row>
    <row r="60" spans="1:10">
      <c r="A60" s="78"/>
      <c r="B60" s="57" t="s">
        <v>73</v>
      </c>
      <c r="C60" s="83"/>
      <c r="D60" s="84"/>
      <c r="E60" s="57" t="s">
        <v>202</v>
      </c>
      <c r="F60" s="58">
        <f>AVERAGE(C60:C61)</f>
        <v>5.53</v>
      </c>
      <c r="G60" s="58" t="e">
        <f>STDEV(C60:C61)</f>
        <v>#DIV/0!</v>
      </c>
      <c r="H60" s="56">
        <f>AVERAGE(C60:C61,C65:C66)</f>
        <v>5.5549999999999997</v>
      </c>
      <c r="I60" s="56">
        <f>STDEV(C60:C61,C65:C66)</f>
        <v>3.5355339059327251E-2</v>
      </c>
      <c r="J60" s="85">
        <f>AVERAGE(D60:D61)</f>
        <v>25.2</v>
      </c>
    </row>
    <row r="61" spans="1:10">
      <c r="A61" s="78"/>
      <c r="B61" s="61" t="s">
        <v>74</v>
      </c>
      <c r="C61" s="86">
        <v>5.53</v>
      </c>
      <c r="D61" s="81">
        <v>25.2</v>
      </c>
      <c r="E61" s="61"/>
      <c r="F61" s="61"/>
      <c r="G61" s="61"/>
      <c r="H61" s="61"/>
      <c r="I61" s="23"/>
      <c r="J61" s="82"/>
    </row>
    <row r="62" spans="1:10">
      <c r="A62" s="78"/>
      <c r="B62" s="23" t="s">
        <v>75</v>
      </c>
      <c r="C62" s="87">
        <v>9.23</v>
      </c>
      <c r="D62" s="68">
        <v>25.5</v>
      </c>
      <c r="E62" s="23"/>
      <c r="F62" s="31">
        <f>AVERAGE(C62:C64)</f>
        <v>9.2349999999999994</v>
      </c>
      <c r="G62" s="31">
        <f>STDEV(C62:C64)</f>
        <v>7.0710678118653244E-3</v>
      </c>
      <c r="H62" s="31"/>
      <c r="I62" s="23"/>
      <c r="J62" s="53">
        <f>AVERAGE(D62:D64)</f>
        <v>25.4</v>
      </c>
    </row>
    <row r="63" spans="1:10">
      <c r="A63" s="78"/>
      <c r="B63" s="57" t="s">
        <v>77</v>
      </c>
      <c r="C63" s="88"/>
      <c r="D63" s="84"/>
      <c r="E63" s="57" t="s">
        <v>202</v>
      </c>
      <c r="F63" s="57"/>
      <c r="G63" s="57"/>
      <c r="H63" s="57"/>
      <c r="I63" s="23"/>
      <c r="J63" s="60"/>
    </row>
    <row r="64" spans="1:10">
      <c r="A64" s="78"/>
      <c r="B64" s="23" t="s">
        <v>78</v>
      </c>
      <c r="C64" s="87">
        <v>9.24</v>
      </c>
      <c r="D64" s="68">
        <v>25.3</v>
      </c>
      <c r="E64" s="23"/>
      <c r="F64" s="23"/>
      <c r="G64" s="23"/>
      <c r="H64" s="23"/>
      <c r="I64" s="23"/>
      <c r="J64" s="55"/>
    </row>
    <row r="65" spans="1:10">
      <c r="A65" s="78"/>
      <c r="B65" s="23" t="s">
        <v>79</v>
      </c>
      <c r="C65" s="79">
        <v>5.58</v>
      </c>
      <c r="D65" s="68">
        <v>25.4</v>
      </c>
      <c r="E65" s="23"/>
      <c r="F65" s="31">
        <f>AVERAGE(C65:C66)</f>
        <v>5.58</v>
      </c>
      <c r="G65" s="31" t="e">
        <f>STDEV(C65:C66)</f>
        <v>#DIV/0!</v>
      </c>
      <c r="H65" s="31"/>
      <c r="I65" s="23"/>
      <c r="J65" s="53">
        <f>AVERAGE(D65:D66)</f>
        <v>25.4</v>
      </c>
    </row>
    <row r="66" spans="1:10">
      <c r="A66" s="78"/>
      <c r="B66" s="57" t="s">
        <v>80</v>
      </c>
      <c r="C66" s="88"/>
      <c r="D66" s="84"/>
      <c r="E66" s="57" t="s">
        <v>202</v>
      </c>
      <c r="F66" s="57"/>
      <c r="G66" s="57"/>
      <c r="H66" s="57"/>
      <c r="I66" s="23"/>
      <c r="J66" s="60"/>
    </row>
    <row r="67" spans="1:10">
      <c r="A67" s="89" t="s">
        <v>35</v>
      </c>
      <c r="B67" s="23" t="s">
        <v>82</v>
      </c>
      <c r="C67" s="79">
        <v>9.3800000000000008</v>
      </c>
      <c r="D67" s="68">
        <v>28.1</v>
      </c>
      <c r="E67" s="23"/>
      <c r="F67" s="31">
        <f>AVERAGE(C67:C69)</f>
        <v>9.2766666666666673</v>
      </c>
      <c r="G67" s="31">
        <f>STDEV(C67:C69)</f>
        <v>9.2915732431776421E-2</v>
      </c>
      <c r="H67" s="31"/>
      <c r="I67" s="23"/>
      <c r="J67" s="53">
        <f>AVERAGE(D67:D69)</f>
        <v>27.666666666666668</v>
      </c>
    </row>
    <row r="68" spans="1:10">
      <c r="A68" s="89"/>
      <c r="B68" s="23" t="s">
        <v>83</v>
      </c>
      <c r="C68" s="79">
        <v>9.25</v>
      </c>
      <c r="D68" s="68">
        <v>28.2</v>
      </c>
      <c r="E68" s="23"/>
      <c r="F68" s="23"/>
      <c r="G68" s="23"/>
      <c r="H68" s="23"/>
      <c r="I68" s="23"/>
      <c r="J68" s="55"/>
    </row>
    <row r="69" spans="1:10">
      <c r="A69" s="89"/>
      <c r="B69" s="23" t="s">
        <v>84</v>
      </c>
      <c r="C69" s="79">
        <v>9.1999999999999993</v>
      </c>
      <c r="D69" s="68">
        <v>26.7</v>
      </c>
      <c r="E69" s="23"/>
      <c r="F69" s="23"/>
      <c r="G69" s="23"/>
      <c r="H69" s="23"/>
      <c r="I69" s="23"/>
      <c r="J69" s="55"/>
    </row>
    <row r="70" spans="1:10">
      <c r="A70" s="89"/>
      <c r="B70" s="23" t="s">
        <v>85</v>
      </c>
      <c r="C70" s="79">
        <v>5.73</v>
      </c>
      <c r="D70" s="68">
        <v>26.1</v>
      </c>
      <c r="E70" s="23"/>
      <c r="F70" s="31">
        <f>AVERAGE(C70:C71)</f>
        <v>5.6750000000000007</v>
      </c>
      <c r="G70" s="31">
        <f>STDEV(C70:C71)</f>
        <v>7.7781745930520452E-2</v>
      </c>
      <c r="H70" s="56">
        <f>AVERAGE(C70:C71,C75:C76)</f>
        <v>5.6675000000000004</v>
      </c>
      <c r="I70" s="56">
        <f>STDEV(C70:C71,C75:C76)</f>
        <v>0.13073510112692255</v>
      </c>
      <c r="J70" s="53">
        <f>AVERAGE(D70:D71)</f>
        <v>25.65</v>
      </c>
    </row>
    <row r="71" spans="1:10">
      <c r="A71" s="89"/>
      <c r="B71" s="23" t="s">
        <v>86</v>
      </c>
      <c r="C71" s="79">
        <v>5.62</v>
      </c>
      <c r="D71" s="68">
        <v>25.2</v>
      </c>
      <c r="E71" s="23"/>
      <c r="F71" s="23"/>
      <c r="G71" s="23"/>
      <c r="H71" s="23"/>
      <c r="I71" s="23"/>
      <c r="J71" s="55"/>
    </row>
    <row r="72" spans="1:10">
      <c r="A72" s="89"/>
      <c r="B72" s="23" t="s">
        <v>87</v>
      </c>
      <c r="C72" s="79">
        <v>9.2799999999999994</v>
      </c>
      <c r="D72" s="68">
        <v>26.7</v>
      </c>
      <c r="E72" s="23"/>
      <c r="F72" s="31">
        <f>AVERAGE(C72:C74)</f>
        <v>9.2899999999999991</v>
      </c>
      <c r="G72" s="31">
        <f>STDEV(C72:C74)</f>
        <v>1.0000000000000675E-2</v>
      </c>
      <c r="H72" s="31"/>
      <c r="I72" s="23"/>
      <c r="J72" s="53">
        <f>AVERAGE(D72:D74)</f>
        <v>26.133333333333336</v>
      </c>
    </row>
    <row r="73" spans="1:10">
      <c r="A73" s="89"/>
      <c r="B73" s="23" t="s">
        <v>88</v>
      </c>
      <c r="C73" s="79">
        <v>9.3000000000000007</v>
      </c>
      <c r="D73" s="68">
        <v>25.8</v>
      </c>
      <c r="E73" s="23"/>
      <c r="F73" s="23"/>
      <c r="G73" s="23"/>
      <c r="H73" s="23"/>
      <c r="I73" s="23"/>
      <c r="J73" s="55"/>
    </row>
    <row r="74" spans="1:10">
      <c r="A74" s="89"/>
      <c r="B74" s="23" t="s">
        <v>89</v>
      </c>
      <c r="C74" s="79">
        <v>9.2899999999999991</v>
      </c>
      <c r="D74" s="68">
        <v>25.9</v>
      </c>
      <c r="E74" s="23"/>
      <c r="F74" s="23"/>
      <c r="G74" s="23"/>
      <c r="H74" s="23"/>
      <c r="I74" s="23"/>
      <c r="J74" s="55"/>
    </row>
    <row r="75" spans="1:10">
      <c r="A75" s="89"/>
      <c r="B75" s="61" t="s">
        <v>90</v>
      </c>
      <c r="C75" s="80">
        <v>5.81</v>
      </c>
      <c r="D75" s="81">
        <v>25</v>
      </c>
      <c r="E75" s="61"/>
      <c r="F75" s="56">
        <f>AVERAGE(C75:C76)</f>
        <v>5.66</v>
      </c>
      <c r="G75" s="56">
        <f>STDEV(C75:C76)</f>
        <v>0.21213203435596412</v>
      </c>
      <c r="H75" s="56"/>
      <c r="I75" s="23"/>
      <c r="J75" s="63">
        <f>AVERAGE(D75:D76)</f>
        <v>25.05</v>
      </c>
    </row>
    <row r="76" spans="1:10">
      <c r="A76" s="89"/>
      <c r="B76" s="23" t="s">
        <v>91</v>
      </c>
      <c r="C76" s="79">
        <v>5.51</v>
      </c>
      <c r="D76" s="68">
        <v>25.1</v>
      </c>
      <c r="E76" s="23"/>
      <c r="F76" s="23"/>
      <c r="G76" s="23"/>
      <c r="H76" s="23"/>
      <c r="I76" s="23"/>
      <c r="J76" s="55"/>
    </row>
    <row r="77" spans="1:10">
      <c r="A77" s="89" t="s">
        <v>47</v>
      </c>
      <c r="B77" s="23" t="s">
        <v>92</v>
      </c>
      <c r="C77" s="79">
        <v>9.16</v>
      </c>
      <c r="D77" s="68">
        <v>25.5</v>
      </c>
      <c r="E77" s="23"/>
      <c r="F77" s="31">
        <f>AVERAGE(C77:C79)</f>
        <v>9.1866666666666656</v>
      </c>
      <c r="G77" s="31">
        <f>STDEV(C77:C79)</f>
        <v>2.3094010767584539E-2</v>
      </c>
      <c r="H77" s="31"/>
      <c r="I77" s="23"/>
      <c r="J77" s="53">
        <f>AVERAGE(D77:D79)</f>
        <v>25.666666666666668</v>
      </c>
    </row>
    <row r="78" spans="1:10">
      <c r="A78" s="89"/>
      <c r="B78" s="23" t="s">
        <v>93</v>
      </c>
      <c r="C78" s="79">
        <v>9.1999999999999993</v>
      </c>
      <c r="D78" s="68">
        <v>25.6</v>
      </c>
      <c r="E78" s="23"/>
      <c r="F78" s="23"/>
      <c r="G78" s="23"/>
      <c r="H78" s="23"/>
      <c r="I78" s="23"/>
      <c r="J78" s="55"/>
    </row>
    <row r="79" spans="1:10">
      <c r="A79" s="89"/>
      <c r="B79" s="23" t="s">
        <v>94</v>
      </c>
      <c r="C79" s="79">
        <v>9.1999999999999993</v>
      </c>
      <c r="D79" s="68">
        <v>25.9</v>
      </c>
      <c r="E79" s="23"/>
      <c r="F79" s="23"/>
      <c r="G79" s="23"/>
      <c r="H79" s="23"/>
      <c r="I79" s="23"/>
      <c r="J79" s="55"/>
    </row>
    <row r="80" spans="1:10">
      <c r="A80" s="89"/>
      <c r="B80" s="61" t="s">
        <v>95</v>
      </c>
      <c r="C80" s="80">
        <v>5.71</v>
      </c>
      <c r="D80" s="81">
        <v>26.8</v>
      </c>
      <c r="E80" s="61"/>
      <c r="F80" s="56">
        <f>AVERAGE(C80:C81)</f>
        <v>5.5049999999999999</v>
      </c>
      <c r="G80" s="56">
        <f>STDEV(C80:C81)</f>
        <v>0.28991378028648457</v>
      </c>
      <c r="H80" s="56">
        <f>AVERAGE(C80:C81,C85:C86)</f>
        <v>5.67</v>
      </c>
      <c r="I80" s="56">
        <f>STDEV(C80:C81,C85:C86)</f>
        <v>0.25390286856722727</v>
      </c>
      <c r="J80" s="63">
        <f>AVERAGE(D80:D81)</f>
        <v>26.05</v>
      </c>
    </row>
    <row r="81" spans="1:10">
      <c r="A81" s="89"/>
      <c r="B81" s="23" t="s">
        <v>96</v>
      </c>
      <c r="C81" s="79">
        <v>5.3</v>
      </c>
      <c r="D81" s="68">
        <v>25.3</v>
      </c>
      <c r="E81" s="23"/>
      <c r="F81" s="23"/>
      <c r="G81" s="23"/>
      <c r="H81" s="23"/>
      <c r="I81" s="23"/>
      <c r="J81" s="55"/>
    </row>
    <row r="82" spans="1:10">
      <c r="A82" s="89"/>
      <c r="B82" s="23" t="s">
        <v>97</v>
      </c>
      <c r="C82" s="79">
        <v>9.2100000000000009</v>
      </c>
      <c r="D82" s="68">
        <v>25.5</v>
      </c>
      <c r="E82" s="23"/>
      <c r="F82" s="31">
        <f>AVERAGE(C82:C84)</f>
        <v>9.2233333333333345</v>
      </c>
      <c r="G82" s="31">
        <f>STDEV(C82:C84)</f>
        <v>2.3094010767584539E-2</v>
      </c>
      <c r="H82" s="31"/>
      <c r="I82" s="23"/>
      <c r="J82" s="53">
        <f>AVERAGE(D82:D84)</f>
        <v>25.866666666666664</v>
      </c>
    </row>
    <row r="83" spans="1:10">
      <c r="A83" s="89"/>
      <c r="B83" s="23" t="s">
        <v>98</v>
      </c>
      <c r="C83" s="79">
        <v>9.2100000000000009</v>
      </c>
      <c r="D83" s="68">
        <v>26</v>
      </c>
      <c r="E83" s="23"/>
      <c r="F83" s="23"/>
      <c r="G83" s="23"/>
      <c r="H83" s="23"/>
      <c r="I83" s="23"/>
      <c r="J83" s="55"/>
    </row>
    <row r="84" spans="1:10">
      <c r="A84" s="89"/>
      <c r="B84" s="23" t="s">
        <v>99</v>
      </c>
      <c r="C84" s="90">
        <v>9.25</v>
      </c>
      <c r="D84" s="91">
        <v>26.1</v>
      </c>
      <c r="E84" s="23"/>
      <c r="F84" s="23"/>
      <c r="G84" s="23"/>
      <c r="H84" s="23"/>
      <c r="I84" s="23"/>
      <c r="J84" s="55"/>
    </row>
    <row r="85" spans="1:10">
      <c r="A85" s="89"/>
      <c r="B85" s="61" t="s">
        <v>100</v>
      </c>
      <c r="C85" s="80">
        <v>5.85</v>
      </c>
      <c r="D85" s="81">
        <v>25.3</v>
      </c>
      <c r="E85" s="61"/>
      <c r="F85" s="56">
        <f>AVERAGE(C85:C86)</f>
        <v>5.835</v>
      </c>
      <c r="G85" s="56">
        <f>STDEV(C85:C86)</f>
        <v>2.1213203435595972E-2</v>
      </c>
      <c r="H85" s="56"/>
      <c r="I85" s="23"/>
      <c r="J85" s="63">
        <f>AVERAGE(D85:D86)</f>
        <v>25.200000000000003</v>
      </c>
    </row>
    <row r="86" spans="1:10">
      <c r="A86" s="89"/>
      <c r="B86" s="61" t="s">
        <v>101</v>
      </c>
      <c r="C86" s="80">
        <v>5.82</v>
      </c>
      <c r="D86" s="81">
        <v>25.1</v>
      </c>
      <c r="E86" s="61"/>
      <c r="F86" s="61"/>
      <c r="G86" s="61"/>
      <c r="H86" s="61"/>
      <c r="I86" s="23"/>
      <c r="J86" s="82"/>
    </row>
    <row r="87" spans="1:10">
      <c r="A87" s="89" t="s">
        <v>58</v>
      </c>
      <c r="B87" s="23" t="s">
        <v>102</v>
      </c>
      <c r="C87" s="79">
        <v>9.2200000000000006</v>
      </c>
      <c r="D87" s="68">
        <v>27.6</v>
      </c>
      <c r="E87" s="23"/>
      <c r="F87" s="31">
        <f>AVERAGE(C87:C89)</f>
        <v>9.2133333333333329</v>
      </c>
      <c r="G87" s="31">
        <f>STDEV(C87:C89)</f>
        <v>5.7735026918961348E-3</v>
      </c>
      <c r="H87" s="31"/>
      <c r="I87" s="23"/>
      <c r="J87" s="53">
        <f>AVERAGE(D87:D89)</f>
        <v>26.766666666666666</v>
      </c>
    </row>
    <row r="88" spans="1:10">
      <c r="A88" s="89"/>
      <c r="B88" s="23" t="s">
        <v>103</v>
      </c>
      <c r="C88" s="90">
        <v>9.2100000000000009</v>
      </c>
      <c r="D88" s="91">
        <v>26.4</v>
      </c>
      <c r="E88" s="23"/>
      <c r="F88" s="23"/>
      <c r="G88" s="23"/>
      <c r="H88" s="23"/>
      <c r="I88" s="23"/>
      <c r="J88" s="55"/>
    </row>
    <row r="89" spans="1:10">
      <c r="A89" s="89"/>
      <c r="B89" s="23" t="s">
        <v>104</v>
      </c>
      <c r="C89" s="79">
        <v>9.2100000000000009</v>
      </c>
      <c r="D89" s="68">
        <v>26.3</v>
      </c>
      <c r="E89" s="23"/>
      <c r="F89" s="23"/>
      <c r="G89" s="23"/>
      <c r="H89" s="23"/>
      <c r="I89" s="23"/>
      <c r="J89" s="55"/>
    </row>
    <row r="90" spans="1:10">
      <c r="A90" s="89"/>
      <c r="B90" s="23" t="s">
        <v>105</v>
      </c>
      <c r="C90" s="79">
        <v>5.53</v>
      </c>
      <c r="D90" s="68">
        <v>25.4</v>
      </c>
      <c r="E90" s="23"/>
      <c r="F90" s="31">
        <f>AVERAGE(C90:C91)</f>
        <v>5.6</v>
      </c>
      <c r="G90" s="31">
        <f>STDEV(C90:C91)</f>
        <v>9.8994949366116428E-2</v>
      </c>
      <c r="H90" s="31">
        <f>AVERAGE(C90:C91,C95:C96)</f>
        <v>5.6674999999999995</v>
      </c>
      <c r="I90" s="31">
        <f>STDEV(C90:C91,C95:C96)</f>
        <v>0.1466003638012767</v>
      </c>
      <c r="J90" s="53">
        <f>AVERAGE(D90:D91)</f>
        <v>25.299999999999997</v>
      </c>
    </row>
    <row r="91" spans="1:10">
      <c r="A91" s="89"/>
      <c r="B91" s="23" t="s">
        <v>106</v>
      </c>
      <c r="C91" s="79">
        <v>5.67</v>
      </c>
      <c r="D91" s="68">
        <v>25.2</v>
      </c>
      <c r="E91" s="23"/>
      <c r="F91" s="23"/>
      <c r="G91" s="23"/>
      <c r="H91" s="23"/>
      <c r="I91" s="23"/>
      <c r="J91" s="55"/>
    </row>
    <row r="92" spans="1:10">
      <c r="A92" s="89"/>
      <c r="B92" s="23" t="s">
        <v>107</v>
      </c>
      <c r="C92" s="79">
        <v>9.2100000000000009</v>
      </c>
      <c r="D92" s="68">
        <v>26.4</v>
      </c>
      <c r="E92" s="23"/>
      <c r="F92" s="31">
        <f>AVERAGE(C92:C94)</f>
        <v>9.2066666666666652</v>
      </c>
      <c r="G92" s="31">
        <f>STDEV(C92:C94)</f>
        <v>1.527525231652011E-2</v>
      </c>
      <c r="H92" s="31"/>
      <c r="I92" s="23"/>
      <c r="J92" s="53">
        <f>AVERAGE(D92:D94)</f>
        <v>26.033333333333331</v>
      </c>
    </row>
    <row r="93" spans="1:10">
      <c r="A93" s="89"/>
      <c r="B93" s="23" t="s">
        <v>108</v>
      </c>
      <c r="C93" s="79">
        <v>9.2200000000000006</v>
      </c>
      <c r="D93" s="68">
        <v>25.8</v>
      </c>
      <c r="E93" s="23"/>
      <c r="F93" s="23"/>
      <c r="G93" s="23"/>
      <c r="H93" s="23"/>
      <c r="I93" s="23"/>
      <c r="J93" s="55"/>
    </row>
    <row r="94" spans="1:10">
      <c r="A94" s="89"/>
      <c r="B94" s="23" t="s">
        <v>109</v>
      </c>
      <c r="C94" s="79">
        <v>9.19</v>
      </c>
      <c r="D94" s="68">
        <v>25.9</v>
      </c>
      <c r="E94" s="23"/>
      <c r="F94" s="23"/>
      <c r="G94" s="23"/>
      <c r="H94" s="23"/>
      <c r="I94" s="23"/>
      <c r="J94" s="55"/>
    </row>
    <row r="95" spans="1:10">
      <c r="A95" s="89"/>
      <c r="B95" s="23" t="s">
        <v>110</v>
      </c>
      <c r="C95" s="79">
        <v>5.6</v>
      </c>
      <c r="D95" s="68">
        <v>30.7</v>
      </c>
      <c r="E95" s="23"/>
      <c r="F95" s="31">
        <f>AVERAGE(C95:C96)</f>
        <v>5.7349999999999994</v>
      </c>
      <c r="G95" s="31">
        <f>STDEV(C95:C96)</f>
        <v>0.19091883092036815</v>
      </c>
      <c r="H95" s="31"/>
      <c r="I95" s="23"/>
      <c r="J95" s="53">
        <f>AVERAGE(D95:D96)</f>
        <v>27.95</v>
      </c>
    </row>
    <row r="96" spans="1:10">
      <c r="A96" s="89"/>
      <c r="B96" s="23" t="s">
        <v>111</v>
      </c>
      <c r="C96" s="79">
        <v>5.87</v>
      </c>
      <c r="D96" s="68">
        <v>25.2</v>
      </c>
      <c r="E96" s="23"/>
      <c r="F96" s="23"/>
      <c r="G96" s="23"/>
      <c r="H96" s="23"/>
      <c r="I96" s="23"/>
      <c r="J96" s="55"/>
    </row>
  </sheetData>
  <mergeCells count="12">
    <mergeCell ref="A35:A44"/>
    <mergeCell ref="A45:A54"/>
    <mergeCell ref="A57:A66"/>
    <mergeCell ref="A67:A76"/>
    <mergeCell ref="A77:A86"/>
    <mergeCell ref="A87:A96"/>
    <mergeCell ref="A3:A4"/>
    <mergeCell ref="A5:A6"/>
    <mergeCell ref="A7:A8"/>
    <mergeCell ref="A9:A10"/>
    <mergeCell ref="A15:A24"/>
    <mergeCell ref="A25:A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85" zoomScaleNormal="85" workbookViewId="0">
      <selection sqref="A1:J82"/>
    </sheetView>
  </sheetViews>
  <sheetFormatPr defaultRowHeight="15"/>
  <sheetData>
    <row r="1" spans="1:10" ht="102.75">
      <c r="A1" s="21" t="s">
        <v>0</v>
      </c>
      <c r="B1" s="29" t="s">
        <v>1</v>
      </c>
      <c r="C1" s="21" t="s">
        <v>204</v>
      </c>
      <c r="D1" s="92" t="s">
        <v>205</v>
      </c>
      <c r="E1" s="92" t="s">
        <v>206</v>
      </c>
      <c r="F1" s="92" t="s">
        <v>207</v>
      </c>
      <c r="G1" s="92" t="s">
        <v>208</v>
      </c>
      <c r="H1" s="92" t="s">
        <v>209</v>
      </c>
      <c r="I1" s="92" t="s">
        <v>9</v>
      </c>
      <c r="J1" s="92" t="s">
        <v>210</v>
      </c>
    </row>
    <row r="2" spans="1:10">
      <c r="A2" s="78" t="s">
        <v>18</v>
      </c>
      <c r="B2" s="23" t="s">
        <v>19</v>
      </c>
      <c r="C2" s="23" t="s">
        <v>211</v>
      </c>
      <c r="D2" s="38">
        <v>6.5594000000000001</v>
      </c>
      <c r="E2" s="38">
        <v>16.549299999999999</v>
      </c>
      <c r="F2" s="38">
        <v>16.648599999999998</v>
      </c>
      <c r="G2" s="38">
        <f>E2-D2</f>
        <v>9.9898999999999987</v>
      </c>
      <c r="H2" s="38">
        <f>F2-D2</f>
        <v>10.089199999999998</v>
      </c>
      <c r="I2" s="38">
        <f>H2-G2</f>
        <v>9.92999999999995E-2</v>
      </c>
      <c r="J2" s="38">
        <f>H2/I2</f>
        <v>101.60322255790584</v>
      </c>
    </row>
    <row r="3" spans="1:10">
      <c r="A3" s="78"/>
      <c r="B3" s="23" t="s">
        <v>24</v>
      </c>
      <c r="C3" s="23" t="s">
        <v>212</v>
      </c>
      <c r="D3" s="38">
        <v>6.5570000000000004</v>
      </c>
      <c r="E3" s="38">
        <v>16.5532</v>
      </c>
      <c r="F3" s="38">
        <v>16.651700000000002</v>
      </c>
      <c r="G3" s="38">
        <f t="shared" ref="G3:G41" si="0">E3-D3</f>
        <v>9.9962</v>
      </c>
      <c r="H3" s="38">
        <f t="shared" ref="H3:H41" si="1">F3-D3</f>
        <v>10.094700000000001</v>
      </c>
      <c r="I3" s="38">
        <f t="shared" ref="I3:I41" si="2">H3-G3</f>
        <v>9.8500000000001364E-2</v>
      </c>
      <c r="J3" s="38">
        <f t="shared" ref="J3:J41" si="3">H3/I3</f>
        <v>102.48426395938945</v>
      </c>
    </row>
    <row r="4" spans="1:10">
      <c r="A4" s="78"/>
      <c r="B4" s="23" t="s">
        <v>25</v>
      </c>
      <c r="C4" s="23" t="s">
        <v>213</v>
      </c>
      <c r="D4" s="38">
        <v>6.5903999999999998</v>
      </c>
      <c r="E4" s="38">
        <v>16.5688</v>
      </c>
      <c r="F4" s="38">
        <v>16.666899999999998</v>
      </c>
      <c r="G4" s="38">
        <f t="shared" si="0"/>
        <v>9.9784000000000006</v>
      </c>
      <c r="H4" s="38">
        <f t="shared" si="1"/>
        <v>10.076499999999999</v>
      </c>
      <c r="I4" s="38">
        <f t="shared" si="2"/>
        <v>9.8099999999998744E-2</v>
      </c>
      <c r="J4" s="38">
        <f t="shared" si="3"/>
        <v>102.71661569826838</v>
      </c>
    </row>
    <row r="5" spans="1:10">
      <c r="A5" s="78"/>
      <c r="B5" s="23" t="s">
        <v>26</v>
      </c>
      <c r="C5" s="23" t="s">
        <v>214</v>
      </c>
      <c r="D5" s="38">
        <v>6.6879</v>
      </c>
      <c r="E5" s="38">
        <v>16.682200000000002</v>
      </c>
      <c r="F5" s="38">
        <v>16.781300000000002</v>
      </c>
      <c r="G5" s="38">
        <f t="shared" si="0"/>
        <v>9.9943000000000026</v>
      </c>
      <c r="H5" s="38">
        <f t="shared" si="1"/>
        <v>10.093400000000003</v>
      </c>
      <c r="I5" s="38">
        <f t="shared" si="2"/>
        <v>9.9099999999999966E-2</v>
      </c>
      <c r="J5" s="38">
        <f t="shared" si="3"/>
        <v>101.85065590312821</v>
      </c>
    </row>
    <row r="6" spans="1:10">
      <c r="A6" s="78"/>
      <c r="B6" s="23" t="s">
        <v>28</v>
      </c>
      <c r="C6" s="23" t="s">
        <v>215</v>
      </c>
      <c r="D6" s="38">
        <v>6.5640999999999998</v>
      </c>
      <c r="E6" s="38">
        <v>16.544599999999999</v>
      </c>
      <c r="F6" s="38">
        <v>16.643799999999999</v>
      </c>
      <c r="G6" s="38">
        <f t="shared" si="0"/>
        <v>9.9804999999999993</v>
      </c>
      <c r="H6" s="38">
        <f t="shared" si="1"/>
        <v>10.079699999999999</v>
      </c>
      <c r="I6" s="38">
        <f t="shared" si="2"/>
        <v>9.9199999999999733E-2</v>
      </c>
      <c r="J6" s="38">
        <f t="shared" si="3"/>
        <v>101.60987903225833</v>
      </c>
    </row>
    <row r="7" spans="1:10">
      <c r="A7" s="78"/>
      <c r="B7" s="23" t="s">
        <v>29</v>
      </c>
      <c r="C7" s="23" t="s">
        <v>216</v>
      </c>
      <c r="D7" s="38">
        <v>6.6295999999999999</v>
      </c>
      <c r="E7" s="38">
        <v>16.610199999999999</v>
      </c>
      <c r="F7" s="38">
        <v>16.706700000000001</v>
      </c>
      <c r="G7" s="38">
        <f t="shared" si="0"/>
        <v>9.980599999999999</v>
      </c>
      <c r="H7" s="38">
        <f t="shared" si="1"/>
        <v>10.077100000000002</v>
      </c>
      <c r="I7" s="38">
        <f t="shared" si="2"/>
        <v>9.6500000000002473E-2</v>
      </c>
      <c r="J7" s="38">
        <f t="shared" si="3"/>
        <v>104.42590673574864</v>
      </c>
    </row>
    <row r="8" spans="1:10">
      <c r="A8" s="78"/>
      <c r="B8" s="23" t="s">
        <v>31</v>
      </c>
      <c r="C8" s="23" t="s">
        <v>217</v>
      </c>
      <c r="D8" s="38">
        <v>6.6451000000000002</v>
      </c>
      <c r="E8" s="38">
        <v>16.621400000000001</v>
      </c>
      <c r="F8" s="38">
        <v>16.721299999999999</v>
      </c>
      <c r="G8" s="38">
        <f t="shared" si="0"/>
        <v>9.9763000000000019</v>
      </c>
      <c r="H8" s="38">
        <f t="shared" si="1"/>
        <v>10.0762</v>
      </c>
      <c r="I8" s="38">
        <f t="shared" si="2"/>
        <v>9.9899999999998101E-2</v>
      </c>
      <c r="J8" s="38">
        <f t="shared" si="3"/>
        <v>100.86286286286477</v>
      </c>
    </row>
    <row r="9" spans="1:10">
      <c r="A9" s="78"/>
      <c r="B9" s="61" t="s">
        <v>32</v>
      </c>
      <c r="C9" s="61" t="s">
        <v>218</v>
      </c>
      <c r="D9" s="93">
        <v>6.5431999999999997</v>
      </c>
      <c r="E9" s="93">
        <v>16.528099999999998</v>
      </c>
      <c r="F9" s="94" t="s">
        <v>22</v>
      </c>
      <c r="G9" s="93">
        <f>E9-D9</f>
        <v>9.9848999999999997</v>
      </c>
      <c r="H9" s="93" t="e">
        <f t="shared" si="1"/>
        <v>#VALUE!</v>
      </c>
      <c r="I9" s="93" t="e">
        <f t="shared" si="2"/>
        <v>#VALUE!</v>
      </c>
      <c r="J9" s="93" t="e">
        <f t="shared" si="3"/>
        <v>#VALUE!</v>
      </c>
    </row>
    <row r="10" spans="1:10">
      <c r="A10" s="78"/>
      <c r="B10" s="61" t="s">
        <v>33</v>
      </c>
      <c r="C10" s="61" t="s">
        <v>219</v>
      </c>
      <c r="D10" s="93">
        <v>6.6460999999999997</v>
      </c>
      <c r="E10" s="93">
        <v>16.618500000000001</v>
      </c>
      <c r="F10" s="93">
        <v>16.718299999999999</v>
      </c>
      <c r="G10" s="93">
        <f t="shared" si="0"/>
        <v>9.9724000000000004</v>
      </c>
      <c r="H10" s="93">
        <f t="shared" si="1"/>
        <v>10.072199999999999</v>
      </c>
      <c r="I10" s="93">
        <f t="shared" si="2"/>
        <v>9.9799999999998334E-2</v>
      </c>
      <c r="J10" s="93">
        <f t="shared" si="3"/>
        <v>100.92384769539245</v>
      </c>
    </row>
    <row r="11" spans="1:10">
      <c r="A11" s="78"/>
      <c r="B11" s="23" t="s">
        <v>34</v>
      </c>
      <c r="C11" s="23" t="s">
        <v>220</v>
      </c>
      <c r="D11" s="38">
        <v>6.6212999999999997</v>
      </c>
      <c r="E11" s="38">
        <v>16.612300000000001</v>
      </c>
      <c r="F11" s="38">
        <v>16.711200000000002</v>
      </c>
      <c r="G11" s="38">
        <f t="shared" si="0"/>
        <v>9.9910000000000014</v>
      </c>
      <c r="H11" s="38">
        <f t="shared" si="1"/>
        <v>10.089900000000002</v>
      </c>
      <c r="I11" s="38">
        <f t="shared" si="2"/>
        <v>9.8900000000000432E-2</v>
      </c>
      <c r="J11" s="38">
        <f t="shared" si="3"/>
        <v>102.02123356926145</v>
      </c>
    </row>
    <row r="12" spans="1:10">
      <c r="A12" s="89" t="s">
        <v>35</v>
      </c>
      <c r="B12" s="23" t="s">
        <v>36</v>
      </c>
      <c r="C12" s="23" t="s">
        <v>221</v>
      </c>
      <c r="D12" s="38">
        <v>6.5075000000000003</v>
      </c>
      <c r="E12" s="38">
        <v>16.492000000000001</v>
      </c>
      <c r="F12" s="38">
        <v>16.590599999999998</v>
      </c>
      <c r="G12" s="38">
        <f t="shared" si="0"/>
        <v>9.9845000000000006</v>
      </c>
      <c r="H12" s="38">
        <f t="shared" si="1"/>
        <v>10.083099999999998</v>
      </c>
      <c r="I12" s="38">
        <f t="shared" si="2"/>
        <v>9.8599999999997578E-2</v>
      </c>
      <c r="J12" s="38">
        <f t="shared" si="3"/>
        <v>102.26267748478951</v>
      </c>
    </row>
    <row r="13" spans="1:10">
      <c r="A13" s="89"/>
      <c r="B13" s="23" t="s">
        <v>38</v>
      </c>
      <c r="C13" s="23" t="s">
        <v>222</v>
      </c>
      <c r="D13" s="38">
        <v>6.7427999999999999</v>
      </c>
      <c r="E13" s="38">
        <v>16.735800000000001</v>
      </c>
      <c r="F13" s="38">
        <v>16.834900000000001</v>
      </c>
      <c r="G13" s="38">
        <f t="shared" si="0"/>
        <v>9.9930000000000021</v>
      </c>
      <c r="H13" s="38">
        <f t="shared" si="1"/>
        <v>10.092100000000002</v>
      </c>
      <c r="I13" s="38">
        <f t="shared" si="2"/>
        <v>9.9099999999999966E-2</v>
      </c>
      <c r="J13" s="38">
        <f t="shared" si="3"/>
        <v>101.83753784056515</v>
      </c>
    </row>
    <row r="14" spans="1:10">
      <c r="A14" s="89"/>
      <c r="B14" s="23" t="s">
        <v>39</v>
      </c>
      <c r="C14" s="23" t="s">
        <v>223</v>
      </c>
      <c r="D14" s="38">
        <v>6.5667</v>
      </c>
      <c r="E14" s="38">
        <v>16.5503</v>
      </c>
      <c r="F14" s="38">
        <v>16.6496</v>
      </c>
      <c r="G14" s="38">
        <f t="shared" si="0"/>
        <v>9.9835999999999991</v>
      </c>
      <c r="H14" s="38">
        <f t="shared" si="1"/>
        <v>10.082899999999999</v>
      </c>
      <c r="I14" s="38">
        <f t="shared" si="2"/>
        <v>9.92999999999995E-2</v>
      </c>
      <c r="J14" s="38">
        <f t="shared" si="3"/>
        <v>101.53977844914451</v>
      </c>
    </row>
    <row r="15" spans="1:10">
      <c r="A15" s="89"/>
      <c r="B15" s="23" t="s">
        <v>40</v>
      </c>
      <c r="C15" s="23" t="s">
        <v>224</v>
      </c>
      <c r="D15" s="38">
        <v>6.5789999999999997</v>
      </c>
      <c r="E15" s="38">
        <v>16.567499999999999</v>
      </c>
      <c r="F15" s="38">
        <v>16.6676</v>
      </c>
      <c r="G15" s="38">
        <f t="shared" si="0"/>
        <v>9.9884999999999984</v>
      </c>
      <c r="H15" s="38">
        <f t="shared" si="1"/>
        <v>10.0886</v>
      </c>
      <c r="I15" s="38">
        <f t="shared" si="2"/>
        <v>0.10010000000000119</v>
      </c>
      <c r="J15" s="38">
        <f t="shared" si="3"/>
        <v>100.78521478521358</v>
      </c>
    </row>
    <row r="16" spans="1:10">
      <c r="A16" s="89"/>
      <c r="B16" s="23" t="s">
        <v>41</v>
      </c>
      <c r="C16" s="23" t="s">
        <v>225</v>
      </c>
      <c r="D16" s="38">
        <v>6.6994999999999996</v>
      </c>
      <c r="E16" s="38">
        <v>16.68</v>
      </c>
      <c r="F16" s="38">
        <v>16.776599999999998</v>
      </c>
      <c r="G16" s="38">
        <f t="shared" si="0"/>
        <v>9.9804999999999993</v>
      </c>
      <c r="H16" s="38">
        <f t="shared" si="1"/>
        <v>10.077099999999998</v>
      </c>
      <c r="I16" s="38">
        <f t="shared" si="2"/>
        <v>9.6599999999998687E-2</v>
      </c>
      <c r="J16" s="38">
        <f t="shared" si="3"/>
        <v>104.31780538302417</v>
      </c>
    </row>
    <row r="17" spans="1:10">
      <c r="A17" s="89"/>
      <c r="B17" s="23" t="s">
        <v>42</v>
      </c>
      <c r="C17" s="23" t="s">
        <v>226</v>
      </c>
      <c r="D17" s="38">
        <v>6.7050000000000001</v>
      </c>
      <c r="E17" s="38">
        <v>16.700299999999999</v>
      </c>
      <c r="F17" s="38">
        <v>16.798999999999999</v>
      </c>
      <c r="G17" s="38">
        <f t="shared" si="0"/>
        <v>9.9952999999999985</v>
      </c>
      <c r="H17" s="38">
        <f t="shared" si="1"/>
        <v>10.093999999999999</v>
      </c>
      <c r="I17" s="38">
        <f t="shared" si="2"/>
        <v>9.8700000000000898E-2</v>
      </c>
      <c r="J17" s="38">
        <f t="shared" si="3"/>
        <v>102.26950354609835</v>
      </c>
    </row>
    <row r="18" spans="1:10">
      <c r="A18" s="89"/>
      <c r="B18" s="23" t="s">
        <v>43</v>
      </c>
      <c r="C18" s="23" t="s">
        <v>227</v>
      </c>
      <c r="D18" s="38">
        <v>6.6428000000000003</v>
      </c>
      <c r="E18" s="38">
        <v>16.6311</v>
      </c>
      <c r="F18" s="38">
        <v>16.730599999999999</v>
      </c>
      <c r="G18" s="38">
        <f t="shared" si="0"/>
        <v>9.9882999999999988</v>
      </c>
      <c r="H18" s="38">
        <f t="shared" si="1"/>
        <v>10.087799999999998</v>
      </c>
      <c r="I18" s="38">
        <f t="shared" si="2"/>
        <v>9.9499999999999034E-2</v>
      </c>
      <c r="J18" s="38">
        <f t="shared" si="3"/>
        <v>101.38492462311655</v>
      </c>
    </row>
    <row r="19" spans="1:10">
      <c r="A19" s="89"/>
      <c r="B19" s="23" t="s">
        <v>44</v>
      </c>
      <c r="C19" s="23" t="s">
        <v>228</v>
      </c>
      <c r="D19" s="38">
        <v>6.6037999999999997</v>
      </c>
      <c r="E19" s="38">
        <v>16.588999999999999</v>
      </c>
      <c r="F19" s="38">
        <v>16.686800000000002</v>
      </c>
      <c r="G19" s="38">
        <f>E19-D19</f>
        <v>9.985199999999999</v>
      </c>
      <c r="H19" s="38">
        <f>F19-D19</f>
        <v>10.083000000000002</v>
      </c>
      <c r="I19" s="38">
        <f>H19-G19</f>
        <v>9.7800000000002996E-2</v>
      </c>
      <c r="J19" s="38">
        <f>H19/I19</f>
        <v>103.09815950919932</v>
      </c>
    </row>
    <row r="20" spans="1:10">
      <c r="A20" s="89"/>
      <c r="B20" s="23" t="s">
        <v>45</v>
      </c>
      <c r="C20" s="23" t="s">
        <v>229</v>
      </c>
      <c r="D20" s="38">
        <v>6.6825999999999999</v>
      </c>
      <c r="E20" s="38">
        <v>16.659300000000002</v>
      </c>
      <c r="F20" s="38">
        <v>16.7576</v>
      </c>
      <c r="G20" s="38">
        <f t="shared" si="0"/>
        <v>9.976700000000001</v>
      </c>
      <c r="H20" s="38">
        <f t="shared" si="1"/>
        <v>10.074999999999999</v>
      </c>
      <c r="I20" s="38">
        <f>H20-G20</f>
        <v>9.8299999999998278E-2</v>
      </c>
      <c r="J20" s="38">
        <f t="shared" si="3"/>
        <v>102.49237029501705</v>
      </c>
    </row>
    <row r="21" spans="1:10">
      <c r="A21" s="89"/>
      <c r="B21" s="23" t="s">
        <v>46</v>
      </c>
      <c r="C21" s="23" t="s">
        <v>230</v>
      </c>
      <c r="D21" s="38">
        <v>6.5625999999999998</v>
      </c>
      <c r="E21" s="38">
        <v>16.561800000000002</v>
      </c>
      <c r="F21" s="38">
        <v>16.6614</v>
      </c>
      <c r="G21" s="38">
        <f t="shared" si="0"/>
        <v>9.9992000000000019</v>
      </c>
      <c r="H21" s="38">
        <f t="shared" si="1"/>
        <v>10.098800000000001</v>
      </c>
      <c r="I21" s="38">
        <f t="shared" si="2"/>
        <v>9.9599999999998801E-2</v>
      </c>
      <c r="J21" s="38">
        <f t="shared" si="3"/>
        <v>101.39357429718999</v>
      </c>
    </row>
    <row r="22" spans="1:10">
      <c r="A22" s="89" t="s">
        <v>47</v>
      </c>
      <c r="B22" s="23" t="s">
        <v>48</v>
      </c>
      <c r="C22" s="23" t="s">
        <v>231</v>
      </c>
      <c r="D22" s="38">
        <v>6.8396999999999997</v>
      </c>
      <c r="E22" s="38">
        <v>16.831700000000001</v>
      </c>
      <c r="F22" s="38">
        <v>16.930700000000002</v>
      </c>
      <c r="G22" s="38">
        <f>E22-D22</f>
        <v>9.9920000000000009</v>
      </c>
      <c r="H22" s="38">
        <f>F22-D22</f>
        <v>10.091000000000001</v>
      </c>
      <c r="I22" s="38">
        <f>H22-G22</f>
        <v>9.9000000000000199E-2</v>
      </c>
      <c r="J22" s="38">
        <f>H22/I22</f>
        <v>101.92929292929273</v>
      </c>
    </row>
    <row r="23" spans="1:10">
      <c r="A23" s="89"/>
      <c r="B23" s="23" t="s">
        <v>49</v>
      </c>
      <c r="C23" s="23" t="s">
        <v>232</v>
      </c>
      <c r="D23" s="38">
        <v>6.8140000000000001</v>
      </c>
      <c r="E23" s="38">
        <v>16.8066</v>
      </c>
      <c r="F23" s="38">
        <v>16.904699999999998</v>
      </c>
      <c r="G23" s="38">
        <f t="shared" si="0"/>
        <v>9.9925999999999995</v>
      </c>
      <c r="H23" s="38">
        <f t="shared" si="1"/>
        <v>10.090699999999998</v>
      </c>
      <c r="I23" s="38">
        <f t="shared" si="2"/>
        <v>9.8099999999998744E-2</v>
      </c>
      <c r="J23" s="38">
        <f t="shared" si="3"/>
        <v>102.86136595311037</v>
      </c>
    </row>
    <row r="24" spans="1:10">
      <c r="A24" s="89"/>
      <c r="B24" s="23" t="s">
        <v>50</v>
      </c>
      <c r="C24" s="23" t="s">
        <v>233</v>
      </c>
      <c r="D24" s="38">
        <v>6.8869999999999996</v>
      </c>
      <c r="E24" s="38">
        <v>16.883700000000001</v>
      </c>
      <c r="F24" s="38">
        <v>16.982500000000002</v>
      </c>
      <c r="G24" s="38">
        <f t="shared" si="0"/>
        <v>9.9967000000000006</v>
      </c>
      <c r="H24" s="38">
        <f t="shared" si="1"/>
        <v>10.095500000000001</v>
      </c>
      <c r="I24" s="38">
        <f t="shared" si="2"/>
        <v>9.8800000000000665E-2</v>
      </c>
      <c r="J24" s="38">
        <f t="shared" si="3"/>
        <v>102.18117408906815</v>
      </c>
    </row>
    <row r="25" spans="1:10">
      <c r="A25" s="89"/>
      <c r="B25" s="23" t="s">
        <v>51</v>
      </c>
      <c r="C25" s="23" t="s">
        <v>234</v>
      </c>
      <c r="D25" s="38">
        <v>6.8228999999999997</v>
      </c>
      <c r="E25" s="38">
        <v>16.822299999999998</v>
      </c>
      <c r="F25" s="38">
        <v>16.922000000000001</v>
      </c>
      <c r="G25" s="38">
        <f t="shared" si="0"/>
        <v>9.9993999999999978</v>
      </c>
      <c r="H25" s="38">
        <f t="shared" si="1"/>
        <v>10.0991</v>
      </c>
      <c r="I25" s="38">
        <f t="shared" si="2"/>
        <v>9.970000000000212E-2</v>
      </c>
      <c r="J25" s="38">
        <f t="shared" si="3"/>
        <v>101.29488465395973</v>
      </c>
    </row>
    <row r="26" spans="1:10">
      <c r="A26" s="89"/>
      <c r="B26" s="23" t="s">
        <v>52</v>
      </c>
      <c r="C26" s="23" t="s">
        <v>235</v>
      </c>
      <c r="D26" s="38">
        <v>6.8323999999999998</v>
      </c>
      <c r="E26" s="38">
        <v>16.834800000000001</v>
      </c>
      <c r="F26" s="38">
        <v>16.933199999999999</v>
      </c>
      <c r="G26" s="38">
        <f t="shared" si="0"/>
        <v>10.002400000000002</v>
      </c>
      <c r="H26" s="38">
        <f t="shared" si="1"/>
        <v>10.1008</v>
      </c>
      <c r="I26" s="38">
        <f t="shared" si="2"/>
        <v>9.8399999999998045E-2</v>
      </c>
      <c r="J26" s="38">
        <f t="shared" si="3"/>
        <v>102.65040650406708</v>
      </c>
    </row>
    <row r="27" spans="1:10">
      <c r="A27" s="89"/>
      <c r="B27" s="23" t="s">
        <v>53</v>
      </c>
      <c r="C27" s="23" t="s">
        <v>236</v>
      </c>
      <c r="D27" s="38">
        <v>6.8113000000000001</v>
      </c>
      <c r="E27" s="38">
        <v>16.797699999999999</v>
      </c>
      <c r="F27" s="38">
        <v>16.896899999999999</v>
      </c>
      <c r="G27" s="38">
        <f t="shared" si="0"/>
        <v>9.9863999999999997</v>
      </c>
      <c r="H27" s="38">
        <f t="shared" si="1"/>
        <v>10.085599999999999</v>
      </c>
      <c r="I27" s="38">
        <f t="shared" si="2"/>
        <v>9.9199999999999733E-2</v>
      </c>
      <c r="J27" s="38">
        <f t="shared" si="3"/>
        <v>101.66935483870995</v>
      </c>
    </row>
    <row r="28" spans="1:10">
      <c r="A28" s="89"/>
      <c r="B28" s="23" t="s">
        <v>54</v>
      </c>
      <c r="C28" s="23" t="s">
        <v>237</v>
      </c>
      <c r="D28" s="38">
        <v>6.8254000000000001</v>
      </c>
      <c r="E28" s="38">
        <v>16.8245</v>
      </c>
      <c r="F28" s="38">
        <v>16.9239</v>
      </c>
      <c r="G28" s="38">
        <f t="shared" si="0"/>
        <v>9.9991000000000003</v>
      </c>
      <c r="H28" s="38">
        <f t="shared" si="1"/>
        <v>10.0985</v>
      </c>
      <c r="I28" s="38">
        <f t="shared" si="2"/>
        <v>9.9399999999999267E-2</v>
      </c>
      <c r="J28" s="38">
        <f t="shared" si="3"/>
        <v>101.59456740442731</v>
      </c>
    </row>
    <row r="29" spans="1:10">
      <c r="A29" s="89"/>
      <c r="B29" s="23" t="s">
        <v>55</v>
      </c>
      <c r="C29" s="23" t="s">
        <v>238</v>
      </c>
      <c r="D29" s="38">
        <v>6.8513000000000002</v>
      </c>
      <c r="E29" s="38">
        <v>16.841799999999999</v>
      </c>
      <c r="F29" s="38">
        <v>16.940100000000001</v>
      </c>
      <c r="G29" s="38">
        <f t="shared" si="0"/>
        <v>9.990499999999999</v>
      </c>
      <c r="H29" s="38">
        <f t="shared" si="1"/>
        <v>10.088800000000001</v>
      </c>
      <c r="I29" s="38">
        <f t="shared" si="2"/>
        <v>9.830000000000183E-2</v>
      </c>
      <c r="J29" s="38">
        <f t="shared" si="3"/>
        <v>102.63275686673258</v>
      </c>
    </row>
    <row r="30" spans="1:10">
      <c r="A30" s="89"/>
      <c r="B30" s="23" t="s">
        <v>56</v>
      </c>
      <c r="C30" s="23" t="s">
        <v>239</v>
      </c>
      <c r="D30" s="38">
        <v>6.8703000000000003</v>
      </c>
      <c r="E30" s="38">
        <v>16.860099999999999</v>
      </c>
      <c r="F30" s="38">
        <v>16.959399999999999</v>
      </c>
      <c r="G30" s="38">
        <f t="shared" si="0"/>
        <v>9.9897999999999989</v>
      </c>
      <c r="H30" s="38">
        <f t="shared" si="1"/>
        <v>10.089099999999998</v>
      </c>
      <c r="I30" s="38">
        <f t="shared" si="2"/>
        <v>9.92999999999995E-2</v>
      </c>
      <c r="J30" s="38">
        <f t="shared" si="3"/>
        <v>101.60221550856042</v>
      </c>
    </row>
    <row r="31" spans="1:10">
      <c r="A31" s="89"/>
      <c r="B31" s="23" t="s">
        <v>57</v>
      </c>
      <c r="C31" s="23" t="s">
        <v>240</v>
      </c>
      <c r="D31" s="38">
        <v>6.8749000000000002</v>
      </c>
      <c r="E31" s="38">
        <v>16.872399999999999</v>
      </c>
      <c r="F31" s="38">
        <v>16.971</v>
      </c>
      <c r="G31" s="38">
        <f t="shared" si="0"/>
        <v>9.9974999999999987</v>
      </c>
      <c r="H31" s="38">
        <f t="shared" si="1"/>
        <v>10.0961</v>
      </c>
      <c r="I31" s="38">
        <f t="shared" si="2"/>
        <v>9.8600000000001131E-2</v>
      </c>
      <c r="J31" s="38">
        <f t="shared" si="3"/>
        <v>102.39452332657083</v>
      </c>
    </row>
    <row r="32" spans="1:10">
      <c r="A32" s="89" t="s">
        <v>58</v>
      </c>
      <c r="B32" s="23" t="s">
        <v>59</v>
      </c>
      <c r="C32" s="23" t="s">
        <v>241</v>
      </c>
      <c r="D32" s="38">
        <v>6.8315000000000001</v>
      </c>
      <c r="E32" s="38">
        <v>16.8369</v>
      </c>
      <c r="F32" s="38">
        <v>16.9361</v>
      </c>
      <c r="G32" s="38">
        <f t="shared" si="0"/>
        <v>10.0054</v>
      </c>
      <c r="H32" s="38">
        <f t="shared" si="1"/>
        <v>10.1046</v>
      </c>
      <c r="I32" s="38">
        <f t="shared" si="2"/>
        <v>9.9199999999999733E-2</v>
      </c>
      <c r="J32" s="38">
        <f t="shared" si="3"/>
        <v>101.86088709677446</v>
      </c>
    </row>
    <row r="33" spans="1:10">
      <c r="A33" s="89"/>
      <c r="B33" s="23" t="s">
        <v>60</v>
      </c>
      <c r="C33" s="23" t="s">
        <v>242</v>
      </c>
      <c r="D33" s="38">
        <v>6.8339999999999996</v>
      </c>
      <c r="E33" s="38">
        <v>16.837299999999999</v>
      </c>
      <c r="F33" s="38">
        <v>16.936599999999999</v>
      </c>
      <c r="G33" s="38">
        <f t="shared" si="0"/>
        <v>10.003299999999999</v>
      </c>
      <c r="H33" s="38">
        <f t="shared" si="1"/>
        <v>10.102599999999999</v>
      </c>
      <c r="I33" s="38">
        <f t="shared" si="2"/>
        <v>9.92999999999995E-2</v>
      </c>
      <c r="J33" s="38">
        <f t="shared" si="3"/>
        <v>101.73816717019184</v>
      </c>
    </row>
    <row r="34" spans="1:10">
      <c r="A34" s="89"/>
      <c r="B34" s="23" t="s">
        <v>61</v>
      </c>
      <c r="C34" s="23" t="s">
        <v>243</v>
      </c>
      <c r="D34" s="38">
        <v>6.81</v>
      </c>
      <c r="E34" s="38">
        <v>16.800699999999999</v>
      </c>
      <c r="F34" s="38">
        <v>16.8995</v>
      </c>
      <c r="G34" s="38">
        <f t="shared" si="0"/>
        <v>9.9907000000000004</v>
      </c>
      <c r="H34" s="38">
        <f t="shared" si="1"/>
        <v>10.089500000000001</v>
      </c>
      <c r="I34" s="38">
        <f t="shared" si="2"/>
        <v>9.8800000000000665E-2</v>
      </c>
      <c r="J34" s="38">
        <f t="shared" si="3"/>
        <v>102.12044534412888</v>
      </c>
    </row>
    <row r="35" spans="1:10">
      <c r="A35" s="89"/>
      <c r="B35" s="23" t="s">
        <v>62</v>
      </c>
      <c r="C35" s="23" t="s">
        <v>244</v>
      </c>
      <c r="D35" s="38">
        <v>6.8352000000000004</v>
      </c>
      <c r="E35" s="38">
        <v>16.8169</v>
      </c>
      <c r="F35" s="38">
        <v>16.9161</v>
      </c>
      <c r="G35" s="38">
        <f t="shared" si="0"/>
        <v>9.9817</v>
      </c>
      <c r="H35" s="38">
        <f t="shared" si="1"/>
        <v>10.0809</v>
      </c>
      <c r="I35" s="38">
        <f t="shared" si="2"/>
        <v>9.9199999999999733E-2</v>
      </c>
      <c r="J35" s="38">
        <f t="shared" si="3"/>
        <v>101.62197580645189</v>
      </c>
    </row>
    <row r="36" spans="1:10">
      <c r="A36" s="89"/>
      <c r="B36" s="23" t="s">
        <v>63</v>
      </c>
      <c r="C36" s="23" t="s">
        <v>245</v>
      </c>
      <c r="D36" s="38">
        <v>6.8326000000000002</v>
      </c>
      <c r="E36" s="38">
        <v>16.835599999999999</v>
      </c>
      <c r="F36" s="38">
        <v>16.936699999999998</v>
      </c>
      <c r="G36" s="38">
        <f t="shared" si="0"/>
        <v>10.003</v>
      </c>
      <c r="H36" s="38">
        <f t="shared" si="1"/>
        <v>10.104099999999999</v>
      </c>
      <c r="I36" s="38">
        <f t="shared" si="2"/>
        <v>0.10109999999999886</v>
      </c>
      <c r="J36" s="38">
        <f t="shared" si="3"/>
        <v>99.941641938675701</v>
      </c>
    </row>
    <row r="37" spans="1:10">
      <c r="A37" s="89"/>
      <c r="B37" s="23" t="s">
        <v>64</v>
      </c>
      <c r="C37" s="23" t="s">
        <v>246</v>
      </c>
      <c r="D37" s="38">
        <v>6.8353999999999999</v>
      </c>
      <c r="E37" s="38">
        <v>16.831199999999999</v>
      </c>
      <c r="F37" s="38">
        <v>16.930399999999999</v>
      </c>
      <c r="G37" s="38">
        <f t="shared" si="0"/>
        <v>9.9957999999999991</v>
      </c>
      <c r="H37" s="38">
        <f t="shared" si="1"/>
        <v>10.094999999999999</v>
      </c>
      <c r="I37" s="38">
        <f t="shared" si="2"/>
        <v>9.9199999999999733E-2</v>
      </c>
      <c r="J37" s="38">
        <f t="shared" si="3"/>
        <v>101.76411290322606</v>
      </c>
    </row>
    <row r="38" spans="1:10">
      <c r="A38" s="89"/>
      <c r="B38" s="23" t="s">
        <v>65</v>
      </c>
      <c r="C38" s="23" t="s">
        <v>247</v>
      </c>
      <c r="D38" s="38">
        <v>6.8040000000000003</v>
      </c>
      <c r="E38" s="38">
        <v>16.799600000000002</v>
      </c>
      <c r="F38" s="38">
        <v>16.898199999999999</v>
      </c>
      <c r="G38" s="38">
        <f t="shared" si="0"/>
        <v>9.9956000000000014</v>
      </c>
      <c r="H38" s="38">
        <f t="shared" si="1"/>
        <v>10.094199999999999</v>
      </c>
      <c r="I38" s="38">
        <f t="shared" si="2"/>
        <v>9.8599999999997578E-2</v>
      </c>
      <c r="J38" s="38">
        <f t="shared" si="3"/>
        <v>102.37525354969824</v>
      </c>
    </row>
    <row r="39" spans="1:10">
      <c r="A39" s="89"/>
      <c r="B39" s="23" t="s">
        <v>66</v>
      </c>
      <c r="C39" s="23" t="s">
        <v>248</v>
      </c>
      <c r="D39" s="38">
        <v>6.8357000000000001</v>
      </c>
      <c r="E39" s="38">
        <v>16.824999999999999</v>
      </c>
      <c r="F39" s="38">
        <v>16.924299999999999</v>
      </c>
      <c r="G39" s="38">
        <f>E39-D39</f>
        <v>9.9893000000000001</v>
      </c>
      <c r="H39" s="38">
        <f>F39-D39</f>
        <v>10.0886</v>
      </c>
      <c r="I39" s="38">
        <f>H39-G39</f>
        <v>9.92999999999995E-2</v>
      </c>
      <c r="J39" s="38">
        <f t="shared" si="3"/>
        <v>101.59718026183334</v>
      </c>
    </row>
    <row r="40" spans="1:10">
      <c r="A40" s="89"/>
      <c r="B40" s="23" t="s">
        <v>67</v>
      </c>
      <c r="C40" s="23" t="s">
        <v>249</v>
      </c>
      <c r="D40" s="38">
        <v>6.8183999999999996</v>
      </c>
      <c r="E40" s="38">
        <v>16.791799999999999</v>
      </c>
      <c r="F40" s="38">
        <v>16.891100000000002</v>
      </c>
      <c r="G40" s="38">
        <f t="shared" si="0"/>
        <v>9.973399999999998</v>
      </c>
      <c r="H40" s="38">
        <f t="shared" si="1"/>
        <v>10.072700000000001</v>
      </c>
      <c r="I40" s="38">
        <f t="shared" si="2"/>
        <v>9.9300000000003052E-2</v>
      </c>
      <c r="J40" s="38">
        <f t="shared" si="3"/>
        <v>101.43705941590827</v>
      </c>
    </row>
    <row r="41" spans="1:10">
      <c r="A41" s="89"/>
      <c r="B41" s="23" t="s">
        <v>68</v>
      </c>
      <c r="C41" s="23" t="s">
        <v>250</v>
      </c>
      <c r="D41" s="38">
        <v>6.8295000000000003</v>
      </c>
      <c r="E41" s="38">
        <v>16.811299999999999</v>
      </c>
      <c r="F41" s="38">
        <v>16.911000000000001</v>
      </c>
      <c r="G41" s="38">
        <f t="shared" si="0"/>
        <v>9.9817999999999998</v>
      </c>
      <c r="H41" s="38">
        <f t="shared" si="1"/>
        <v>10.081500000000002</v>
      </c>
      <c r="I41" s="38">
        <f t="shared" si="2"/>
        <v>9.970000000000212E-2</v>
      </c>
      <c r="J41" s="38">
        <f t="shared" si="3"/>
        <v>101.11835506519346</v>
      </c>
    </row>
    <row r="42" spans="1:10" ht="102.75">
      <c r="A42" s="21" t="s">
        <v>0</v>
      </c>
      <c r="B42" s="29" t="s">
        <v>1</v>
      </c>
      <c r="C42" s="21" t="s">
        <v>204</v>
      </c>
      <c r="D42" s="92" t="s">
        <v>205</v>
      </c>
      <c r="E42" s="92" t="s">
        <v>206</v>
      </c>
      <c r="F42" s="92" t="s">
        <v>207</v>
      </c>
      <c r="G42" s="92" t="s">
        <v>208</v>
      </c>
      <c r="H42" s="92" t="s">
        <v>209</v>
      </c>
      <c r="I42" s="92" t="s">
        <v>9</v>
      </c>
      <c r="J42" s="92" t="s">
        <v>210</v>
      </c>
    </row>
    <row r="43" spans="1:10">
      <c r="A43" s="78" t="s">
        <v>18</v>
      </c>
      <c r="B43" s="23" t="s">
        <v>69</v>
      </c>
      <c r="C43" s="23" t="s">
        <v>251</v>
      </c>
      <c r="D43" s="38">
        <v>6.8265000000000002</v>
      </c>
      <c r="E43" s="38">
        <v>16.7957</v>
      </c>
      <c r="F43" s="38">
        <v>16.895</v>
      </c>
      <c r="G43" s="38">
        <f>E43-D43</f>
        <v>9.9692000000000007</v>
      </c>
      <c r="H43" s="38">
        <f>F43-D43</f>
        <v>10.0685</v>
      </c>
      <c r="I43" s="38">
        <f>H43-G43</f>
        <v>9.92999999999995E-2</v>
      </c>
      <c r="J43" s="38">
        <f>H43/I43</f>
        <v>101.39476334340434</v>
      </c>
    </row>
    <row r="44" spans="1:10">
      <c r="A44" s="78"/>
      <c r="B44" s="23" t="s">
        <v>71</v>
      </c>
      <c r="C44" s="23" t="s">
        <v>252</v>
      </c>
      <c r="D44" s="38">
        <v>6.8455000000000004</v>
      </c>
      <c r="E44" s="38">
        <v>16.819299999999998</v>
      </c>
      <c r="F44" s="38">
        <v>16.918700000000001</v>
      </c>
      <c r="G44" s="38">
        <f t="shared" ref="G44:G82" si="4">E44-D44</f>
        <v>9.9737999999999971</v>
      </c>
      <c r="H44" s="38">
        <f t="shared" ref="H44:H82" si="5">F44-D44</f>
        <v>10.0732</v>
      </c>
      <c r="I44" s="38">
        <f t="shared" ref="I44:I82" si="6">H44-G44</f>
        <v>9.9400000000002819E-2</v>
      </c>
      <c r="J44" s="38">
        <f t="shared" ref="J44:J82" si="7">H44/I44</f>
        <v>101.34004024144582</v>
      </c>
    </row>
    <row r="45" spans="1:10">
      <c r="A45" s="78"/>
      <c r="B45" s="61" t="s">
        <v>72</v>
      </c>
      <c r="C45" s="61" t="s">
        <v>253</v>
      </c>
      <c r="D45" s="93">
        <v>6.8459000000000003</v>
      </c>
      <c r="E45" s="93">
        <v>16.806899999999999</v>
      </c>
      <c r="F45" s="93">
        <v>16.9086</v>
      </c>
      <c r="G45" s="93">
        <f t="shared" si="4"/>
        <v>9.9609999999999985</v>
      </c>
      <c r="H45" s="93">
        <f t="shared" si="5"/>
        <v>10.0627</v>
      </c>
      <c r="I45" s="93">
        <f>H45-G45</f>
        <v>0.10170000000000101</v>
      </c>
      <c r="J45" s="93">
        <f>H45/I45</f>
        <v>98.944936086528017</v>
      </c>
    </row>
    <row r="46" spans="1:10">
      <c r="A46" s="78"/>
      <c r="B46" s="61" t="s">
        <v>73</v>
      </c>
      <c r="C46" s="61" t="s">
        <v>254</v>
      </c>
      <c r="D46" s="93">
        <v>6.8445999999999998</v>
      </c>
      <c r="E46" s="93">
        <v>16.8218</v>
      </c>
      <c r="F46" s="94" t="s">
        <v>22</v>
      </c>
      <c r="G46" s="93">
        <f t="shared" si="4"/>
        <v>9.9771999999999998</v>
      </c>
      <c r="H46" s="93" t="e">
        <f t="shared" si="5"/>
        <v>#VALUE!</v>
      </c>
      <c r="I46" s="93" t="e">
        <f t="shared" si="6"/>
        <v>#VALUE!</v>
      </c>
      <c r="J46" s="93" t="e">
        <f t="shared" si="7"/>
        <v>#VALUE!</v>
      </c>
    </row>
    <row r="47" spans="1:10">
      <c r="A47" s="78"/>
      <c r="B47" s="61" t="s">
        <v>74</v>
      </c>
      <c r="C47" s="61" t="s">
        <v>255</v>
      </c>
      <c r="D47" s="93">
        <v>6.8258000000000001</v>
      </c>
      <c r="E47" s="93">
        <v>16.7972</v>
      </c>
      <c r="F47" s="93">
        <v>16.897600000000001</v>
      </c>
      <c r="G47" s="93">
        <f>E47-D47</f>
        <v>9.9713999999999992</v>
      </c>
      <c r="H47" s="93">
        <f>F47-D47</f>
        <v>10.0718</v>
      </c>
      <c r="I47" s="93">
        <f>H47-G47</f>
        <v>0.10040000000000049</v>
      </c>
      <c r="J47" s="93">
        <f>H47/I47</f>
        <v>100.31673306772859</v>
      </c>
    </row>
    <row r="48" spans="1:10">
      <c r="A48" s="78"/>
      <c r="B48" s="23" t="s">
        <v>75</v>
      </c>
      <c r="C48" s="23" t="s">
        <v>256</v>
      </c>
      <c r="D48" s="38">
        <v>6.8204000000000002</v>
      </c>
      <c r="E48" s="38">
        <v>16.7851</v>
      </c>
      <c r="F48" s="38">
        <v>16.885000000000002</v>
      </c>
      <c r="G48" s="38">
        <f t="shared" si="4"/>
        <v>9.9647000000000006</v>
      </c>
      <c r="H48" s="38">
        <f t="shared" si="5"/>
        <v>10.064600000000002</v>
      </c>
      <c r="I48" s="38">
        <f t="shared" si="6"/>
        <v>9.9900000000001654E-2</v>
      </c>
      <c r="J48" s="38">
        <f>H48/I48</f>
        <v>100.7467467467451</v>
      </c>
    </row>
    <row r="49" spans="1:10">
      <c r="A49" s="78"/>
      <c r="B49" s="61" t="s">
        <v>77</v>
      </c>
      <c r="C49" s="61" t="s">
        <v>257</v>
      </c>
      <c r="D49" s="93">
        <v>6.8246000000000002</v>
      </c>
      <c r="E49" s="93">
        <v>16.807500000000001</v>
      </c>
      <c r="F49" s="94" t="s">
        <v>22</v>
      </c>
      <c r="G49" s="93">
        <f t="shared" si="4"/>
        <v>9.9829000000000008</v>
      </c>
      <c r="H49" s="93" t="e">
        <f t="shared" si="5"/>
        <v>#VALUE!</v>
      </c>
      <c r="I49" s="93" t="e">
        <f t="shared" si="6"/>
        <v>#VALUE!</v>
      </c>
      <c r="J49" s="93" t="e">
        <f t="shared" si="7"/>
        <v>#VALUE!</v>
      </c>
    </row>
    <row r="50" spans="1:10">
      <c r="A50" s="78"/>
      <c r="B50" s="23" t="s">
        <v>78</v>
      </c>
      <c r="C50" s="23" t="s">
        <v>258</v>
      </c>
      <c r="D50" s="38">
        <v>6.8590999999999998</v>
      </c>
      <c r="E50" s="38">
        <v>16.8399</v>
      </c>
      <c r="F50" s="38">
        <v>16.939299999999999</v>
      </c>
      <c r="G50" s="38">
        <f t="shared" si="4"/>
        <v>9.9808000000000003</v>
      </c>
      <c r="H50" s="38">
        <f t="shared" si="5"/>
        <v>10.0802</v>
      </c>
      <c r="I50" s="38">
        <f t="shared" si="6"/>
        <v>9.9399999999999267E-2</v>
      </c>
      <c r="J50" s="38">
        <f t="shared" si="7"/>
        <v>101.41046277666071</v>
      </c>
    </row>
    <row r="51" spans="1:10">
      <c r="A51" s="78"/>
      <c r="B51" s="23" t="s">
        <v>79</v>
      </c>
      <c r="C51" s="23" t="s">
        <v>259</v>
      </c>
      <c r="D51" s="38">
        <v>6.8304999999999998</v>
      </c>
      <c r="E51" s="38">
        <v>16.8185</v>
      </c>
      <c r="F51" s="38">
        <v>16.918299999999999</v>
      </c>
      <c r="G51" s="38">
        <f t="shared" si="4"/>
        <v>9.9879999999999995</v>
      </c>
      <c r="H51" s="38">
        <f t="shared" si="5"/>
        <v>10.087799999999998</v>
      </c>
      <c r="I51" s="38">
        <f t="shared" si="6"/>
        <v>9.9799999999998334E-2</v>
      </c>
      <c r="J51" s="38">
        <f t="shared" si="7"/>
        <v>101.08016032064295</v>
      </c>
    </row>
    <row r="52" spans="1:10">
      <c r="A52" s="78"/>
      <c r="B52" s="61" t="s">
        <v>80</v>
      </c>
      <c r="C52" s="61" t="s">
        <v>260</v>
      </c>
      <c r="D52" s="93">
        <v>6.8685</v>
      </c>
      <c r="E52" s="93">
        <v>16.839600000000001</v>
      </c>
      <c r="F52" s="94" t="s">
        <v>22</v>
      </c>
      <c r="G52" s="93">
        <f t="shared" si="4"/>
        <v>9.9710999999999999</v>
      </c>
      <c r="H52" s="93" t="e">
        <f t="shared" si="5"/>
        <v>#VALUE!</v>
      </c>
      <c r="I52" s="93" t="e">
        <f t="shared" si="6"/>
        <v>#VALUE!</v>
      </c>
      <c r="J52" s="93" t="e">
        <f t="shared" si="7"/>
        <v>#VALUE!</v>
      </c>
    </row>
    <row r="53" spans="1:10">
      <c r="A53" s="89" t="s">
        <v>35</v>
      </c>
      <c r="B53" s="23" t="s">
        <v>82</v>
      </c>
      <c r="C53" s="23" t="s">
        <v>261</v>
      </c>
      <c r="D53" s="38">
        <v>6.8350999999999997</v>
      </c>
      <c r="E53" s="38">
        <v>16.818300000000001</v>
      </c>
      <c r="F53" s="38">
        <v>16.916599999999999</v>
      </c>
      <c r="G53" s="38">
        <f t="shared" si="4"/>
        <v>9.9832000000000001</v>
      </c>
      <c r="H53" s="38">
        <f t="shared" si="5"/>
        <v>10.081499999999998</v>
      </c>
      <c r="I53" s="38">
        <f t="shared" si="6"/>
        <v>9.8299999999998278E-2</v>
      </c>
      <c r="J53" s="38">
        <f t="shared" si="7"/>
        <v>102.5584944048848</v>
      </c>
    </row>
    <row r="54" spans="1:10">
      <c r="A54" s="89"/>
      <c r="B54" s="23" t="s">
        <v>83</v>
      </c>
      <c r="C54" s="23" t="s">
        <v>262</v>
      </c>
      <c r="D54" s="38">
        <v>6.8517999999999999</v>
      </c>
      <c r="E54" s="38">
        <v>16.8429</v>
      </c>
      <c r="F54" s="38">
        <v>16.939800000000002</v>
      </c>
      <c r="G54" s="38">
        <f t="shared" si="4"/>
        <v>9.9910999999999994</v>
      </c>
      <c r="H54" s="38">
        <f t="shared" si="5"/>
        <v>10.088000000000001</v>
      </c>
      <c r="I54" s="38">
        <f t="shared" si="6"/>
        <v>9.690000000000154E-2</v>
      </c>
      <c r="J54" s="38">
        <f t="shared" si="7"/>
        <v>104.10732714138122</v>
      </c>
    </row>
    <row r="55" spans="1:10">
      <c r="A55" s="89"/>
      <c r="B55" s="23" t="s">
        <v>84</v>
      </c>
      <c r="C55" s="23" t="s">
        <v>263</v>
      </c>
      <c r="D55" s="38">
        <v>6.8163999999999998</v>
      </c>
      <c r="E55" s="38">
        <v>16.787400000000002</v>
      </c>
      <c r="F55" s="38">
        <v>16.886199999999999</v>
      </c>
      <c r="G55" s="38">
        <f t="shared" si="4"/>
        <v>9.9710000000000019</v>
      </c>
      <c r="H55" s="38">
        <f t="shared" si="5"/>
        <v>10.069799999999999</v>
      </c>
      <c r="I55" s="38">
        <f t="shared" si="6"/>
        <v>9.8799999999997112E-2</v>
      </c>
      <c r="J55" s="38">
        <f t="shared" si="7"/>
        <v>101.92105263158192</v>
      </c>
    </row>
    <row r="56" spans="1:10">
      <c r="A56" s="89"/>
      <c r="B56" s="23" t="s">
        <v>85</v>
      </c>
      <c r="C56" s="23" t="s">
        <v>264</v>
      </c>
      <c r="D56" s="38">
        <v>6.8578000000000001</v>
      </c>
      <c r="E56" s="38">
        <v>16.813800000000001</v>
      </c>
      <c r="F56" s="38">
        <v>16.9131</v>
      </c>
      <c r="G56" s="38">
        <f t="shared" si="4"/>
        <v>9.9559999999999995</v>
      </c>
      <c r="H56" s="38">
        <f t="shared" si="5"/>
        <v>10.055299999999999</v>
      </c>
      <c r="I56" s="38">
        <f t="shared" si="6"/>
        <v>9.92999999999995E-2</v>
      </c>
      <c r="J56" s="38">
        <f t="shared" si="7"/>
        <v>101.26183282980917</v>
      </c>
    </row>
    <row r="57" spans="1:10">
      <c r="A57" s="89"/>
      <c r="B57" s="23" t="s">
        <v>86</v>
      </c>
      <c r="C57" s="23" t="s">
        <v>265</v>
      </c>
      <c r="D57" s="38">
        <v>6.8341000000000003</v>
      </c>
      <c r="E57" s="38">
        <v>16.8202</v>
      </c>
      <c r="F57" s="38">
        <v>16.920200000000001</v>
      </c>
      <c r="G57" s="38">
        <f t="shared" si="4"/>
        <v>9.9861000000000004</v>
      </c>
      <c r="H57" s="38">
        <f t="shared" si="5"/>
        <v>10.086100000000002</v>
      </c>
      <c r="I57" s="38">
        <f t="shared" si="6"/>
        <v>0.10000000000000142</v>
      </c>
      <c r="J57" s="38">
        <f t="shared" si="7"/>
        <v>100.86099999999858</v>
      </c>
    </row>
    <row r="58" spans="1:10">
      <c r="A58" s="89"/>
      <c r="B58" s="23" t="s">
        <v>87</v>
      </c>
      <c r="C58" s="23" t="s">
        <v>266</v>
      </c>
      <c r="D58" s="38">
        <v>6.8731999999999998</v>
      </c>
      <c r="E58" s="38">
        <v>16.841000000000001</v>
      </c>
      <c r="F58" s="38">
        <v>16.938500000000001</v>
      </c>
      <c r="G58" s="38">
        <f t="shared" si="4"/>
        <v>9.9678000000000004</v>
      </c>
      <c r="H58" s="38">
        <f t="shared" si="5"/>
        <v>10.065300000000001</v>
      </c>
      <c r="I58" s="38">
        <f t="shared" si="6"/>
        <v>9.7500000000000142E-2</v>
      </c>
      <c r="J58" s="38">
        <f t="shared" si="7"/>
        <v>103.233846153846</v>
      </c>
    </row>
    <row r="59" spans="1:10">
      <c r="A59" s="89"/>
      <c r="B59" s="23" t="s">
        <v>88</v>
      </c>
      <c r="C59" s="23" t="s">
        <v>267</v>
      </c>
      <c r="D59" s="38">
        <v>6.8151000000000002</v>
      </c>
      <c r="E59" s="38">
        <v>16.7972</v>
      </c>
      <c r="F59" s="38">
        <v>16.896699999999999</v>
      </c>
      <c r="G59" s="38">
        <f t="shared" si="4"/>
        <v>9.9820999999999991</v>
      </c>
      <c r="H59" s="38">
        <f t="shared" si="5"/>
        <v>10.081599999999998</v>
      </c>
      <c r="I59" s="38">
        <f t="shared" si="6"/>
        <v>9.9499999999999034E-2</v>
      </c>
      <c r="J59" s="38">
        <f t="shared" si="7"/>
        <v>101.3226130653276</v>
      </c>
    </row>
    <row r="60" spans="1:10">
      <c r="A60" s="89"/>
      <c r="B60" s="23" t="s">
        <v>89</v>
      </c>
      <c r="C60" s="23" t="s">
        <v>268</v>
      </c>
      <c r="D60" s="38">
        <v>6.8457999999999997</v>
      </c>
      <c r="E60" s="38">
        <v>16.828199999999999</v>
      </c>
      <c r="F60" s="38">
        <v>16.927299999999999</v>
      </c>
      <c r="G60" s="38">
        <f t="shared" si="4"/>
        <v>9.9823999999999984</v>
      </c>
      <c r="H60" s="38">
        <f t="shared" si="5"/>
        <v>10.081499999999998</v>
      </c>
      <c r="I60" s="38">
        <f t="shared" si="6"/>
        <v>9.9099999999999966E-2</v>
      </c>
      <c r="J60" s="38">
        <f t="shared" si="7"/>
        <v>101.73057517658933</v>
      </c>
    </row>
    <row r="61" spans="1:10">
      <c r="A61" s="89"/>
      <c r="B61" s="61" t="s">
        <v>90</v>
      </c>
      <c r="C61" s="61" t="s">
        <v>269</v>
      </c>
      <c r="D61" s="93">
        <v>6.8209999999999997</v>
      </c>
      <c r="E61" s="93">
        <v>16.7987</v>
      </c>
      <c r="F61" s="93">
        <v>16.898199999999999</v>
      </c>
      <c r="G61" s="93">
        <f t="shared" si="4"/>
        <v>9.9777000000000005</v>
      </c>
      <c r="H61" s="93">
        <f t="shared" si="5"/>
        <v>10.077199999999999</v>
      </c>
      <c r="I61" s="93">
        <f t="shared" si="6"/>
        <v>9.9499999999999034E-2</v>
      </c>
      <c r="J61" s="93">
        <f t="shared" si="7"/>
        <v>101.27839195979998</v>
      </c>
    </row>
    <row r="62" spans="1:10">
      <c r="A62" s="89"/>
      <c r="B62" s="23" t="s">
        <v>91</v>
      </c>
      <c r="C62" s="23" t="s">
        <v>270</v>
      </c>
      <c r="D62" s="38">
        <v>6.8413000000000004</v>
      </c>
      <c r="E62" s="38">
        <v>16.8279</v>
      </c>
      <c r="F62" s="38">
        <v>16.927499999999998</v>
      </c>
      <c r="G62" s="38">
        <f t="shared" si="4"/>
        <v>9.9865999999999993</v>
      </c>
      <c r="H62" s="38">
        <f t="shared" si="5"/>
        <v>10.086199999999998</v>
      </c>
      <c r="I62" s="38">
        <f t="shared" si="6"/>
        <v>9.9599999999998801E-2</v>
      </c>
      <c r="J62" s="38">
        <f t="shared" si="7"/>
        <v>101.26706827309357</v>
      </c>
    </row>
    <row r="63" spans="1:10">
      <c r="A63" s="89" t="s">
        <v>47</v>
      </c>
      <c r="B63" s="23" t="s">
        <v>92</v>
      </c>
      <c r="C63" s="23" t="s">
        <v>271</v>
      </c>
      <c r="D63" s="38">
        <v>6.81</v>
      </c>
      <c r="E63" s="38">
        <v>16.789300000000001</v>
      </c>
      <c r="F63" s="38">
        <v>16.888200000000001</v>
      </c>
      <c r="G63" s="38">
        <f t="shared" si="4"/>
        <v>9.9793000000000021</v>
      </c>
      <c r="H63" s="38">
        <f t="shared" si="5"/>
        <v>10.078200000000002</v>
      </c>
      <c r="I63" s="38">
        <f t="shared" si="6"/>
        <v>9.8900000000000432E-2</v>
      </c>
      <c r="J63" s="38">
        <f t="shared" si="7"/>
        <v>101.90293225480241</v>
      </c>
    </row>
    <row r="64" spans="1:10">
      <c r="A64" s="89"/>
      <c r="B64" s="23" t="s">
        <v>93</v>
      </c>
      <c r="C64" s="23" t="s">
        <v>272</v>
      </c>
      <c r="D64" s="38">
        <v>6.8361000000000001</v>
      </c>
      <c r="E64" s="38">
        <v>16.824400000000001</v>
      </c>
      <c r="F64" s="38">
        <v>16.899999999999999</v>
      </c>
      <c r="G64" s="38">
        <f t="shared" si="4"/>
        <v>9.9883000000000006</v>
      </c>
      <c r="H64" s="38">
        <f t="shared" si="5"/>
        <v>10.063899999999999</v>
      </c>
      <c r="I64" s="38">
        <f t="shared" si="6"/>
        <v>7.5599999999997891E-2</v>
      </c>
      <c r="J64" s="38">
        <f>H64/I64</f>
        <v>133.12037037037408</v>
      </c>
    </row>
    <row r="65" spans="1:10">
      <c r="A65" s="89"/>
      <c r="B65" s="23" t="s">
        <v>94</v>
      </c>
      <c r="C65" s="23" t="s">
        <v>273</v>
      </c>
      <c r="D65" s="38">
        <v>6.8728999999999996</v>
      </c>
      <c r="E65" s="38">
        <v>16.863600000000002</v>
      </c>
      <c r="F65" s="38">
        <v>16.9787</v>
      </c>
      <c r="G65" s="38">
        <f t="shared" si="4"/>
        <v>9.9907000000000021</v>
      </c>
      <c r="H65" s="38">
        <f>F65-D65</f>
        <v>10.1058</v>
      </c>
      <c r="I65" s="38">
        <f>H65-G65</f>
        <v>0.1150999999999982</v>
      </c>
      <c r="J65" s="38">
        <f t="shared" si="7"/>
        <v>87.800173761947505</v>
      </c>
    </row>
    <row r="66" spans="1:10">
      <c r="A66" s="89"/>
      <c r="B66" s="61" t="s">
        <v>95</v>
      </c>
      <c r="C66" s="61" t="s">
        <v>274</v>
      </c>
      <c r="D66" s="93">
        <v>6.8318000000000003</v>
      </c>
      <c r="E66" s="93">
        <v>16.808299999999999</v>
      </c>
      <c r="F66" s="93">
        <v>16.907499999999999</v>
      </c>
      <c r="G66" s="93">
        <f t="shared" si="4"/>
        <v>9.9764999999999979</v>
      </c>
      <c r="H66" s="93">
        <f t="shared" si="5"/>
        <v>10.075699999999998</v>
      </c>
      <c r="I66" s="93">
        <f t="shared" si="6"/>
        <v>9.9199999999999733E-2</v>
      </c>
      <c r="J66" s="93">
        <f t="shared" si="7"/>
        <v>101.56955645161315</v>
      </c>
    </row>
    <row r="67" spans="1:10">
      <c r="A67" s="89"/>
      <c r="B67" s="23" t="s">
        <v>96</v>
      </c>
      <c r="C67" s="23" t="s">
        <v>275</v>
      </c>
      <c r="D67" s="38">
        <v>6.8445999999999998</v>
      </c>
      <c r="E67" s="38">
        <v>16.831199999999999</v>
      </c>
      <c r="F67" s="38">
        <v>16.931100000000001</v>
      </c>
      <c r="G67" s="38">
        <f t="shared" si="4"/>
        <v>9.9865999999999993</v>
      </c>
      <c r="H67" s="38">
        <f t="shared" si="5"/>
        <v>10.086500000000001</v>
      </c>
      <c r="I67" s="38">
        <f t="shared" si="6"/>
        <v>9.9900000000001654E-2</v>
      </c>
      <c r="J67" s="38">
        <f t="shared" si="7"/>
        <v>100.9659659659643</v>
      </c>
    </row>
    <row r="68" spans="1:10">
      <c r="A68" s="89"/>
      <c r="B68" s="23" t="s">
        <v>97</v>
      </c>
      <c r="C68" s="23" t="s">
        <v>276</v>
      </c>
      <c r="D68" s="38">
        <v>6.8342999999999998</v>
      </c>
      <c r="E68" s="38">
        <v>16.814900000000002</v>
      </c>
      <c r="F68" s="38">
        <v>16.914200000000001</v>
      </c>
      <c r="G68" s="38">
        <f t="shared" si="4"/>
        <v>9.9806000000000026</v>
      </c>
      <c r="H68" s="38">
        <f t="shared" si="5"/>
        <v>10.079900000000002</v>
      </c>
      <c r="I68" s="38">
        <f t="shared" si="6"/>
        <v>9.92999999999995E-2</v>
      </c>
      <c r="J68" s="38">
        <f t="shared" si="7"/>
        <v>101.509566968782</v>
      </c>
    </row>
    <row r="69" spans="1:10">
      <c r="A69" s="89"/>
      <c r="B69" s="23" t="s">
        <v>98</v>
      </c>
      <c r="C69" s="23" t="s">
        <v>277</v>
      </c>
      <c r="D69" s="38">
        <v>6.8537999999999997</v>
      </c>
      <c r="E69" s="38">
        <v>16.832000000000001</v>
      </c>
      <c r="F69" s="38">
        <v>16.931799999999999</v>
      </c>
      <c r="G69" s="38">
        <f>E69-D69</f>
        <v>9.9782000000000011</v>
      </c>
      <c r="H69" s="38">
        <f t="shared" si="5"/>
        <v>10.077999999999999</v>
      </c>
      <c r="I69" s="38">
        <f t="shared" si="6"/>
        <v>9.9799999999998334E-2</v>
      </c>
      <c r="J69" s="38">
        <f t="shared" si="7"/>
        <v>100.98196392785739</v>
      </c>
    </row>
    <row r="70" spans="1:10">
      <c r="A70" s="89"/>
      <c r="B70" s="23" t="s">
        <v>99</v>
      </c>
      <c r="C70" s="23" t="s">
        <v>278</v>
      </c>
      <c r="D70" s="38">
        <v>6.8293999999999997</v>
      </c>
      <c r="E70" s="38">
        <v>16.8019</v>
      </c>
      <c r="F70" s="38">
        <v>16.9011</v>
      </c>
      <c r="G70" s="38">
        <f t="shared" si="4"/>
        <v>9.9725000000000001</v>
      </c>
      <c r="H70" s="38">
        <f t="shared" si="5"/>
        <v>10.0717</v>
      </c>
      <c r="I70" s="38">
        <f t="shared" si="6"/>
        <v>9.9199999999999733E-2</v>
      </c>
      <c r="J70" s="38">
        <f t="shared" si="7"/>
        <v>101.52923387096801</v>
      </c>
    </row>
    <row r="71" spans="1:10">
      <c r="A71" s="89"/>
      <c r="B71" s="61" t="s">
        <v>100</v>
      </c>
      <c r="C71" s="61" t="s">
        <v>279</v>
      </c>
      <c r="D71" s="93">
        <v>6.8377999999999997</v>
      </c>
      <c r="E71" s="93">
        <v>16.825900000000001</v>
      </c>
      <c r="F71" s="93">
        <v>16.926100000000002</v>
      </c>
      <c r="G71" s="93">
        <f t="shared" si="4"/>
        <v>9.9881000000000011</v>
      </c>
      <c r="H71" s="93">
        <f t="shared" si="5"/>
        <v>10.088300000000002</v>
      </c>
      <c r="I71" s="93">
        <f t="shared" si="6"/>
        <v>0.10020000000000095</v>
      </c>
      <c r="J71" s="93">
        <f t="shared" si="7"/>
        <v>100.68163672654596</v>
      </c>
    </row>
    <row r="72" spans="1:10">
      <c r="A72" s="89"/>
      <c r="B72" s="61" t="s">
        <v>101</v>
      </c>
      <c r="C72" s="61" t="s">
        <v>280</v>
      </c>
      <c r="D72" s="93">
        <v>6.8243999999999998</v>
      </c>
      <c r="E72" s="93">
        <v>16.821000000000002</v>
      </c>
      <c r="F72" s="93">
        <v>16.9192</v>
      </c>
      <c r="G72" s="93">
        <f t="shared" si="4"/>
        <v>9.9966000000000008</v>
      </c>
      <c r="H72" s="93">
        <f t="shared" si="5"/>
        <v>10.094799999999999</v>
      </c>
      <c r="I72" s="93">
        <f t="shared" si="6"/>
        <v>9.8199999999998511E-2</v>
      </c>
      <c r="J72" s="93">
        <f t="shared" si="7"/>
        <v>102.79837067209931</v>
      </c>
    </row>
    <row r="73" spans="1:10">
      <c r="A73" s="89" t="s">
        <v>58</v>
      </c>
      <c r="B73" s="23" t="s">
        <v>102</v>
      </c>
      <c r="C73" s="23" t="s">
        <v>281</v>
      </c>
      <c r="D73" s="38">
        <v>6.8636999999999997</v>
      </c>
      <c r="E73" s="38">
        <v>16.844999999999999</v>
      </c>
      <c r="F73" s="38">
        <v>16.9438</v>
      </c>
      <c r="G73" s="38">
        <f t="shared" si="4"/>
        <v>9.9812999999999992</v>
      </c>
      <c r="H73" s="38">
        <f t="shared" si="5"/>
        <v>10.0801</v>
      </c>
      <c r="I73" s="38">
        <f t="shared" si="6"/>
        <v>9.8800000000000665E-2</v>
      </c>
      <c r="J73" s="38">
        <f t="shared" si="7"/>
        <v>102.025303643724</v>
      </c>
    </row>
    <row r="74" spans="1:10">
      <c r="A74" s="89"/>
      <c r="B74" s="23" t="s">
        <v>103</v>
      </c>
      <c r="C74" s="23" t="s">
        <v>282</v>
      </c>
      <c r="D74" s="38">
        <v>6.8216999999999999</v>
      </c>
      <c r="E74" s="38">
        <v>16.8081</v>
      </c>
      <c r="F74" s="38">
        <v>16.907399999999999</v>
      </c>
      <c r="G74" s="38">
        <f>E74-D74</f>
        <v>9.9863999999999997</v>
      </c>
      <c r="H74" s="38">
        <f>F74-D74</f>
        <v>10.085699999999999</v>
      </c>
      <c r="I74" s="38">
        <f>H74-G74</f>
        <v>9.92999999999995E-2</v>
      </c>
      <c r="J74" s="38">
        <f>H74/I74</f>
        <v>101.56797583081621</v>
      </c>
    </row>
    <row r="75" spans="1:10">
      <c r="A75" s="89"/>
      <c r="B75" s="23" t="s">
        <v>104</v>
      </c>
      <c r="C75" s="23" t="s">
        <v>283</v>
      </c>
      <c r="D75" s="38">
        <v>6.8272000000000004</v>
      </c>
      <c r="E75" s="38">
        <v>16.8139</v>
      </c>
      <c r="F75" s="38">
        <v>16.9129</v>
      </c>
      <c r="G75" s="38">
        <f t="shared" si="4"/>
        <v>9.986699999999999</v>
      </c>
      <c r="H75" s="38">
        <f t="shared" si="5"/>
        <v>10.085699999999999</v>
      </c>
      <c r="I75" s="38">
        <f t="shared" si="6"/>
        <v>9.9000000000000199E-2</v>
      </c>
      <c r="J75" s="38">
        <f t="shared" si="7"/>
        <v>101.87575757575736</v>
      </c>
    </row>
    <row r="76" spans="1:10">
      <c r="A76" s="89"/>
      <c r="B76" s="23" t="s">
        <v>105</v>
      </c>
      <c r="C76" s="23" t="s">
        <v>284</v>
      </c>
      <c r="D76" s="38">
        <v>6.8213999999999997</v>
      </c>
      <c r="E76" s="38">
        <v>16.802700000000002</v>
      </c>
      <c r="F76" s="38">
        <v>16.902100000000001</v>
      </c>
      <c r="G76" s="38">
        <f>E76-D76</f>
        <v>9.9813000000000009</v>
      </c>
      <c r="H76" s="38">
        <f>F76-D76</f>
        <v>10.0807</v>
      </c>
      <c r="I76" s="38">
        <f>H76-G76</f>
        <v>9.9399999999999267E-2</v>
      </c>
      <c r="J76" s="38">
        <f>H76/I76</f>
        <v>101.41549295774723</v>
      </c>
    </row>
    <row r="77" spans="1:10">
      <c r="A77" s="89"/>
      <c r="B77" s="23" t="s">
        <v>106</v>
      </c>
      <c r="C77" s="23" t="s">
        <v>285</v>
      </c>
      <c r="D77" s="38">
        <v>6.8446999999999996</v>
      </c>
      <c r="E77" s="38">
        <v>16.833400000000001</v>
      </c>
      <c r="F77" s="38">
        <v>16.9328</v>
      </c>
      <c r="G77" s="38">
        <f t="shared" si="4"/>
        <v>9.9887000000000015</v>
      </c>
      <c r="H77" s="38">
        <f t="shared" si="5"/>
        <v>10.088100000000001</v>
      </c>
      <c r="I77" s="38">
        <f t="shared" si="6"/>
        <v>9.9399999999999267E-2</v>
      </c>
      <c r="J77" s="38">
        <f t="shared" si="7"/>
        <v>101.48993963782772</v>
      </c>
    </row>
    <row r="78" spans="1:10">
      <c r="A78" s="89"/>
      <c r="B78" s="23" t="s">
        <v>107</v>
      </c>
      <c r="C78" s="23" t="s">
        <v>286</v>
      </c>
      <c r="D78" s="38">
        <v>6.8547000000000002</v>
      </c>
      <c r="E78" s="38">
        <v>16.841000000000001</v>
      </c>
      <c r="F78" s="38">
        <v>16.939800000000002</v>
      </c>
      <c r="G78" s="38">
        <f t="shared" si="4"/>
        <v>9.9863</v>
      </c>
      <c r="H78" s="38">
        <f t="shared" si="5"/>
        <v>10.085100000000001</v>
      </c>
      <c r="I78" s="38">
        <f t="shared" si="6"/>
        <v>9.8800000000000665E-2</v>
      </c>
      <c r="J78" s="38">
        <f t="shared" si="7"/>
        <v>102.07591093117341</v>
      </c>
    </row>
    <row r="79" spans="1:10">
      <c r="A79" s="89"/>
      <c r="B79" s="23" t="s">
        <v>108</v>
      </c>
      <c r="C79" s="23" t="s">
        <v>287</v>
      </c>
      <c r="D79" s="38">
        <v>6.8212000000000002</v>
      </c>
      <c r="E79" s="38">
        <v>16.776299999999999</v>
      </c>
      <c r="F79" s="38">
        <v>16.875499999999999</v>
      </c>
      <c r="G79" s="38">
        <f t="shared" si="4"/>
        <v>9.9550999999999981</v>
      </c>
      <c r="H79" s="38">
        <f t="shared" si="5"/>
        <v>10.054299999999998</v>
      </c>
      <c r="I79" s="38">
        <f t="shared" si="6"/>
        <v>9.9199999999999733E-2</v>
      </c>
      <c r="J79" s="38">
        <f>H79/I79</f>
        <v>101.35383064516154</v>
      </c>
    </row>
    <row r="80" spans="1:10">
      <c r="A80" s="89"/>
      <c r="B80" s="23" t="s">
        <v>109</v>
      </c>
      <c r="C80" s="23" t="s">
        <v>288</v>
      </c>
      <c r="D80" s="38">
        <v>6.8564999999999996</v>
      </c>
      <c r="E80" s="38">
        <v>16.846800000000002</v>
      </c>
      <c r="F80" s="38">
        <v>16.945499999999999</v>
      </c>
      <c r="G80" s="38">
        <f t="shared" si="4"/>
        <v>9.9903000000000013</v>
      </c>
      <c r="H80" s="38">
        <f t="shared" si="5"/>
        <v>10.088999999999999</v>
      </c>
      <c r="I80" s="38">
        <f t="shared" si="6"/>
        <v>9.8699999999997345E-2</v>
      </c>
      <c r="J80" s="38">
        <f t="shared" si="7"/>
        <v>102.21884498480517</v>
      </c>
    </row>
    <row r="81" spans="1:10">
      <c r="A81" s="89"/>
      <c r="B81" s="23" t="s">
        <v>110</v>
      </c>
      <c r="C81" s="23" t="s">
        <v>289</v>
      </c>
      <c r="D81" s="38">
        <v>6.8201000000000001</v>
      </c>
      <c r="E81" s="38">
        <v>16.807400000000001</v>
      </c>
      <c r="F81" s="38">
        <v>16.907699999999998</v>
      </c>
      <c r="G81" s="38">
        <f t="shared" si="4"/>
        <v>9.9873000000000012</v>
      </c>
      <c r="H81" s="38">
        <f t="shared" si="5"/>
        <v>10.087599999999998</v>
      </c>
      <c r="I81" s="38">
        <f t="shared" si="6"/>
        <v>0.10029999999999717</v>
      </c>
      <c r="J81" s="38">
        <f>H81/I81</f>
        <v>100.57427716849733</v>
      </c>
    </row>
    <row r="82" spans="1:10">
      <c r="A82" s="89"/>
      <c r="B82" s="23" t="s">
        <v>111</v>
      </c>
      <c r="C82" s="23" t="s">
        <v>290</v>
      </c>
      <c r="D82" s="38">
        <v>6.8262999999999998</v>
      </c>
      <c r="E82" s="38">
        <v>16.825900000000001</v>
      </c>
      <c r="F82" s="38">
        <v>16.9252</v>
      </c>
      <c r="G82" s="38">
        <f t="shared" si="4"/>
        <v>9.9996000000000009</v>
      </c>
      <c r="H82" s="38">
        <f t="shared" si="5"/>
        <v>10.0989</v>
      </c>
      <c r="I82" s="38">
        <f t="shared" si="6"/>
        <v>9.92999999999995E-2</v>
      </c>
      <c r="J82" s="38">
        <f t="shared" si="7"/>
        <v>101.70090634441139</v>
      </c>
    </row>
  </sheetData>
  <mergeCells count="8">
    <mergeCell ref="A63:A72"/>
    <mergeCell ref="A73:A82"/>
    <mergeCell ref="A2:A11"/>
    <mergeCell ref="A12:A21"/>
    <mergeCell ref="A22:A31"/>
    <mergeCell ref="A32:A41"/>
    <mergeCell ref="A43:A52"/>
    <mergeCell ref="A53:A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Vessel masses</vt:lpstr>
      <vt:lpstr>SA-V ratios</vt:lpstr>
      <vt:lpstr>Timings</vt:lpstr>
      <vt:lpstr>Calibrations</vt:lpstr>
      <vt:lpstr>pH</vt:lpstr>
      <vt:lpstr>Dilution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2019-08-29T09:54:18Z</dcterms:modified>
</cp:coreProperties>
</file>