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y Documents\Projects\Protacs\Paper\Open_Data\HSA_binding\"/>
    </mc:Choice>
  </mc:AlternateContent>
  <bookViews>
    <workbookView xWindow="0" yWindow="0" windowWidth="23040" windowHeight="9384"/>
  </bookViews>
  <sheets>
    <sheet name="standards_170908" sheetId="2" r:id="rId1"/>
    <sheet name="170908" sheetId="3" r:id="rId2"/>
    <sheet name="standards_171113" sheetId="4" r:id="rId3"/>
    <sheet name="171113" sheetId="5" r:id="rId4"/>
    <sheet name="standards_181209" sheetId="6" r:id="rId5"/>
    <sheet name="181209" sheetId="7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7" l="1"/>
  <c r="D7" i="7"/>
  <c r="D6" i="7"/>
  <c r="D5" i="7"/>
  <c r="D4" i="7"/>
  <c r="D3" i="7"/>
  <c r="J12" i="6"/>
  <c r="G12" i="6"/>
  <c r="H12" i="6" s="1"/>
  <c r="F12" i="6"/>
  <c r="I12" i="6" s="1"/>
  <c r="J11" i="6"/>
  <c r="G11" i="6"/>
  <c r="F11" i="6"/>
  <c r="J10" i="6"/>
  <c r="G10" i="6"/>
  <c r="F10" i="6"/>
  <c r="I10" i="6" s="1"/>
  <c r="J9" i="6"/>
  <c r="H9" i="6"/>
  <c r="G9" i="6"/>
  <c r="F9" i="6"/>
  <c r="I9" i="6" s="1"/>
  <c r="J8" i="6"/>
  <c r="G8" i="6"/>
  <c r="I8" i="6" s="1"/>
  <c r="F8" i="6"/>
  <c r="J7" i="6"/>
  <c r="G7" i="6"/>
  <c r="F7" i="6"/>
  <c r="I7" i="6" s="1"/>
  <c r="J6" i="6"/>
  <c r="G6" i="6"/>
  <c r="F6" i="6"/>
  <c r="H6" i="6" s="1"/>
  <c r="J5" i="6"/>
  <c r="G5" i="6"/>
  <c r="F5" i="6"/>
  <c r="I5" i="6" s="1"/>
  <c r="J4" i="6"/>
  <c r="G4" i="6"/>
  <c r="F4" i="6"/>
  <c r="J3" i="6"/>
  <c r="G3" i="6"/>
  <c r="F3" i="6"/>
  <c r="I3" i="6" s="1"/>
  <c r="I4" i="6" l="1"/>
  <c r="H5" i="6"/>
  <c r="I6" i="6"/>
  <c r="H10" i="6"/>
  <c r="I11" i="6"/>
  <c r="H4" i="6"/>
  <c r="H8" i="6"/>
  <c r="H3" i="6"/>
  <c r="F18" i="6" s="1"/>
  <c r="H7" i="6"/>
  <c r="H11" i="6"/>
  <c r="F17" i="6" l="1"/>
  <c r="E7" i="7" l="1"/>
  <c r="F7" i="7" s="1"/>
  <c r="G7" i="7" s="1"/>
  <c r="E3" i="7"/>
  <c r="F3" i="7" s="1"/>
  <c r="G3" i="7" s="1"/>
  <c r="E4" i="7"/>
  <c r="F4" i="7" s="1"/>
  <c r="G4" i="7" s="1"/>
  <c r="E5" i="7"/>
  <c r="F5" i="7" s="1"/>
  <c r="G5" i="7" s="1"/>
  <c r="E6" i="7"/>
  <c r="F6" i="7" s="1"/>
  <c r="G6" i="7" s="1"/>
  <c r="E8" i="7"/>
  <c r="F8" i="7" s="1"/>
  <c r="G8" i="7" s="1"/>
  <c r="L9" i="6"/>
  <c r="M9" i="6" s="1"/>
  <c r="L5" i="6"/>
  <c r="M5" i="6" s="1"/>
  <c r="L3" i="6"/>
  <c r="M3" i="6" s="1"/>
  <c r="L12" i="6"/>
  <c r="M12" i="6" s="1"/>
  <c r="L10" i="6"/>
  <c r="M10" i="6" s="1"/>
  <c r="L6" i="6"/>
  <c r="M6" i="6" s="1"/>
  <c r="L11" i="6"/>
  <c r="M11" i="6" s="1"/>
  <c r="L7" i="6"/>
  <c r="M7" i="6" s="1"/>
  <c r="L8" i="6"/>
  <c r="M8" i="6" s="1"/>
  <c r="L4" i="6"/>
  <c r="M4" i="6" s="1"/>
  <c r="D8" i="5" l="1"/>
  <c r="E8" i="5" s="1"/>
  <c r="F8" i="5" s="1"/>
  <c r="G8" i="5" s="1"/>
  <c r="D7" i="5"/>
  <c r="E7" i="5" s="1"/>
  <c r="F7" i="5" s="1"/>
  <c r="G7" i="5" s="1"/>
  <c r="D6" i="5"/>
  <c r="E6" i="5" s="1"/>
  <c r="F6" i="5" s="1"/>
  <c r="G6" i="5" s="1"/>
  <c r="D5" i="5"/>
  <c r="E5" i="5" s="1"/>
  <c r="F5" i="5" s="1"/>
  <c r="G5" i="5" s="1"/>
  <c r="D4" i="5"/>
  <c r="E4" i="5" s="1"/>
  <c r="F4" i="5" s="1"/>
  <c r="G4" i="5" s="1"/>
  <c r="D3" i="5"/>
  <c r="E3" i="5" s="1"/>
  <c r="F3" i="5" s="1"/>
  <c r="G3" i="5" s="1"/>
  <c r="F17" i="4"/>
  <c r="J12" i="4"/>
  <c r="I12" i="4"/>
  <c r="G12" i="4"/>
  <c r="F12" i="4"/>
  <c r="H12" i="4" s="1"/>
  <c r="J11" i="4"/>
  <c r="I11" i="4"/>
  <c r="H11" i="4"/>
  <c r="G11" i="4"/>
  <c r="F11" i="4"/>
  <c r="J10" i="4"/>
  <c r="I10" i="4"/>
  <c r="G10" i="4"/>
  <c r="H10" i="4" s="1"/>
  <c r="F10" i="4"/>
  <c r="J9" i="4"/>
  <c r="I9" i="4"/>
  <c r="G9" i="4"/>
  <c r="F9" i="4"/>
  <c r="H9" i="4" s="1"/>
  <c r="J8" i="4"/>
  <c r="I8" i="4"/>
  <c r="G8" i="4"/>
  <c r="F8" i="4"/>
  <c r="H8" i="4" s="1"/>
  <c r="J7" i="4"/>
  <c r="I7" i="4"/>
  <c r="H7" i="4"/>
  <c r="G7" i="4"/>
  <c r="F7" i="4"/>
  <c r="J6" i="4"/>
  <c r="I6" i="4"/>
  <c r="G6" i="4"/>
  <c r="H6" i="4" s="1"/>
  <c r="F6" i="4"/>
  <c r="J5" i="4"/>
  <c r="I5" i="4"/>
  <c r="G5" i="4"/>
  <c r="F5" i="4"/>
  <c r="H5" i="4" s="1"/>
  <c r="J4" i="4"/>
  <c r="I4" i="4"/>
  <c r="G4" i="4"/>
  <c r="F4" i="4"/>
  <c r="H4" i="4" s="1"/>
  <c r="J3" i="4"/>
  <c r="I3" i="4"/>
  <c r="H3" i="4"/>
  <c r="G3" i="4"/>
  <c r="F3" i="4"/>
  <c r="F18" i="4" l="1"/>
  <c r="L11" i="4" l="1"/>
  <c r="M11" i="4" s="1"/>
  <c r="L7" i="4"/>
  <c r="M7" i="4" s="1"/>
  <c r="L3" i="4"/>
  <c r="M3" i="4" s="1"/>
  <c r="L12" i="4"/>
  <c r="M12" i="4" s="1"/>
  <c r="L8" i="4"/>
  <c r="M8" i="4" s="1"/>
  <c r="L4" i="4"/>
  <c r="M4" i="4" s="1"/>
  <c r="L9" i="4"/>
  <c r="M9" i="4" s="1"/>
  <c r="L5" i="4"/>
  <c r="M5" i="4" s="1"/>
  <c r="L10" i="4"/>
  <c r="M10" i="4" s="1"/>
  <c r="L6" i="4"/>
  <c r="M6" i="4" s="1"/>
  <c r="J3" i="2" l="1"/>
  <c r="D18" i="3"/>
  <c r="D17" i="3"/>
  <c r="D16" i="3"/>
  <c r="D15" i="3"/>
  <c r="D14" i="3"/>
  <c r="D13" i="3"/>
  <c r="D12" i="3"/>
  <c r="D11" i="3"/>
  <c r="D10" i="3"/>
  <c r="D9" i="3"/>
  <c r="D8" i="3"/>
  <c r="D3" i="3"/>
  <c r="D4" i="3"/>
  <c r="D5" i="3"/>
  <c r="D6" i="3"/>
  <c r="D7" i="3"/>
  <c r="I4" i="2"/>
  <c r="I5" i="2"/>
  <c r="I6" i="2"/>
  <c r="I3" i="2"/>
  <c r="H4" i="2"/>
  <c r="H5" i="2"/>
  <c r="H9" i="2"/>
  <c r="H10" i="2"/>
  <c r="H12" i="2"/>
  <c r="H3" i="2"/>
  <c r="G9" i="2"/>
  <c r="I9" i="2" s="1"/>
  <c r="G10" i="2"/>
  <c r="I10" i="2" s="1"/>
  <c r="J5" i="2"/>
  <c r="J6" i="2"/>
  <c r="J7" i="2"/>
  <c r="J8" i="2"/>
  <c r="J9" i="2"/>
  <c r="J10" i="2"/>
  <c r="J11" i="2"/>
  <c r="J12" i="2"/>
  <c r="J4" i="2"/>
  <c r="G4" i="2"/>
  <c r="G5" i="2"/>
  <c r="G6" i="2"/>
  <c r="H6" i="2" s="1"/>
  <c r="G7" i="2"/>
  <c r="I7" i="2" s="1"/>
  <c r="G8" i="2"/>
  <c r="I8" i="2" s="1"/>
  <c r="G11" i="2"/>
  <c r="H11" i="2" s="1"/>
  <c r="G12" i="2"/>
  <c r="I12" i="2" s="1"/>
  <c r="G3" i="2"/>
  <c r="F4" i="2"/>
  <c r="F5" i="2"/>
  <c r="F6" i="2"/>
  <c r="F7" i="2"/>
  <c r="F8" i="2"/>
  <c r="F9" i="2"/>
  <c r="F10" i="2"/>
  <c r="F11" i="2"/>
  <c r="F12" i="2"/>
  <c r="F3" i="2"/>
  <c r="I11" i="2" l="1"/>
  <c r="H8" i="2"/>
  <c r="H7" i="2"/>
  <c r="F18" i="2"/>
  <c r="F17" i="2"/>
  <c r="L8" i="2" l="1"/>
  <c r="M8" i="2" s="1"/>
  <c r="L9" i="2"/>
  <c r="M9" i="2" s="1"/>
  <c r="E9" i="3"/>
  <c r="F9" i="3" s="1"/>
  <c r="G9" i="3" s="1"/>
  <c r="E8" i="3"/>
  <c r="F8" i="3" s="1"/>
  <c r="G8" i="3" s="1"/>
  <c r="L4" i="2"/>
  <c r="M4" i="2" s="1"/>
  <c r="E10" i="3"/>
  <c r="F10" i="3" s="1"/>
  <c r="G10" i="3" s="1"/>
  <c r="E12" i="3"/>
  <c r="F12" i="3" s="1"/>
  <c r="G12" i="3" s="1"/>
  <c r="E17" i="3"/>
  <c r="F17" i="3" s="1"/>
  <c r="G17" i="3" s="1"/>
  <c r="L7" i="2"/>
  <c r="M7" i="2" s="1"/>
  <c r="E13" i="3"/>
  <c r="F13" i="3" s="1"/>
  <c r="G13" i="3" s="1"/>
  <c r="E15" i="3"/>
  <c r="F15" i="3" s="1"/>
  <c r="G15" i="3" s="1"/>
  <c r="E18" i="3"/>
  <c r="F18" i="3" s="1"/>
  <c r="G18" i="3" s="1"/>
  <c r="L6" i="2"/>
  <c r="M6" i="2" s="1"/>
  <c r="L10" i="2"/>
  <c r="M10" i="2" s="1"/>
  <c r="E11" i="3"/>
  <c r="F11" i="3" s="1"/>
  <c r="G11" i="3" s="1"/>
  <c r="E14" i="3"/>
  <c r="F14" i="3" s="1"/>
  <c r="G14" i="3" s="1"/>
  <c r="E16" i="3"/>
  <c r="F16" i="3" s="1"/>
  <c r="G16" i="3" s="1"/>
  <c r="L3" i="2"/>
  <c r="M3" i="2" s="1"/>
  <c r="L11" i="2"/>
  <c r="M11" i="2" s="1"/>
  <c r="L12" i="2"/>
  <c r="M12" i="2" s="1"/>
  <c r="L5" i="2"/>
  <c r="M5" i="2" s="1"/>
  <c r="E6" i="3"/>
  <c r="F6" i="3" s="1"/>
  <c r="G6" i="3" s="1"/>
  <c r="E3" i="3"/>
  <c r="F3" i="3" s="1"/>
  <c r="G3" i="3" s="1"/>
  <c r="E7" i="3"/>
  <c r="F7" i="3" s="1"/>
  <c r="G7" i="3" s="1"/>
  <c r="E4" i="3"/>
  <c r="F4" i="3" s="1"/>
  <c r="G4" i="3" s="1"/>
  <c r="E5" i="3"/>
  <c r="F5" i="3" s="1"/>
  <c r="G5" i="3" s="1"/>
</calcChain>
</file>

<file path=xl/sharedStrings.xml><?xml version="1.0" encoding="utf-8"?>
<sst xmlns="http://schemas.openxmlformats.org/spreadsheetml/2006/main" count="105" uniqueCount="38">
  <si>
    <t>Compound</t>
  </si>
  <si>
    <t>rt</t>
  </si>
  <si>
    <t>A</t>
  </si>
  <si>
    <t>B</t>
  </si>
  <si>
    <t># equation for linear regression</t>
  </si>
  <si>
    <t>Warfarin</t>
  </si>
  <si>
    <t>Nizatidine</t>
  </si>
  <si>
    <t>Bromazepam</t>
  </si>
  <si>
    <t>Carbamazepine</t>
  </si>
  <si>
    <t>Budesonide</t>
  </si>
  <si>
    <t>Piroxicam</t>
  </si>
  <si>
    <t>Nicardipine</t>
  </si>
  <si>
    <t>Ketoprofen</t>
  </si>
  <si>
    <t>Diclofenac</t>
  </si>
  <si>
    <t>lit_HSA</t>
  </si>
  <si>
    <t>tR</t>
  </si>
  <si>
    <t>log_tR2</t>
  </si>
  <si>
    <t>log_tR1</t>
  </si>
  <si>
    <t>Lit logK</t>
  </si>
  <si>
    <t>Indomethacine</t>
  </si>
  <si>
    <t>av_log_tR</t>
  </si>
  <si>
    <t># lit HSA from: Valko, K. et al, J. Pharm. Sci. 92, 2236–2248 (2003).</t>
  </si>
  <si>
    <t>std_log_tR</t>
  </si>
  <si>
    <t>logK_measured</t>
  </si>
  <si>
    <t>%HSA measured</t>
  </si>
  <si>
    <t>log_rt</t>
  </si>
  <si>
    <t>%HSA_measured</t>
  </si>
  <si>
    <t>Linear regression: logK = A(log_tR) + B</t>
  </si>
  <si>
    <t>%_free</t>
  </si>
  <si>
    <t>20d</t>
  </si>
  <si>
    <t>20b</t>
  </si>
  <si>
    <t>20e</t>
  </si>
  <si>
    <t>20a</t>
  </si>
  <si>
    <t>20c</t>
  </si>
  <si>
    <t>20f</t>
  </si>
  <si>
    <t>20g</t>
  </si>
  <si>
    <t>20h</t>
  </si>
  <si>
    <t>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</si>
</sst>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2"/>
      <color indexed="8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</cellXfs>
  <cellStyles count="4">
    <cellStyle name="Hyperlink 2" xfId="1"/>
    <cellStyle name="Normal" xfId="0" builtinId="0"/>
    <cellStyle name="Normal 2" xfId="2"/>
    <cellStyle name="Normal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relationship between rt and %HSA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0556430446194227E-2"/>
                  <c:y val="-2.71638961796442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standards_170908!$H$3:$H$12</c:f>
              <c:numCache>
                <c:formatCode>0.000</c:formatCode>
                <c:ptCount val="10"/>
                <c:pt idx="0">
                  <c:v>0.85913829729453084</c:v>
                </c:pt>
                <c:pt idx="1">
                  <c:v>0.42970426048878196</c:v>
                </c:pt>
                <c:pt idx="2">
                  <c:v>0.68349148798892534</c:v>
                </c:pt>
                <c:pt idx="3">
                  <c:v>0.6959190326117648</c:v>
                </c:pt>
                <c:pt idx="4">
                  <c:v>0.72098574415373906</c:v>
                </c:pt>
                <c:pt idx="5">
                  <c:v>0.87186225354721292</c:v>
                </c:pt>
                <c:pt idx="6">
                  <c:v>0.77597433112936909</c:v>
                </c:pt>
                <c:pt idx="7">
                  <c:v>0.99474604406283706</c:v>
                </c:pt>
                <c:pt idx="8">
                  <c:v>1.1478286239705773</c:v>
                </c:pt>
                <c:pt idx="9">
                  <c:v>1.0557562653810408</c:v>
                </c:pt>
              </c:numCache>
            </c:numRef>
          </c:xVal>
          <c:yVal>
            <c:numRef>
              <c:f>standards_170908!$J$3:$J$12</c:f>
              <c:numCache>
                <c:formatCode>0.00</c:formatCode>
                <c:ptCount val="10"/>
                <c:pt idx="0">
                  <c:v>1.5141048209728323</c:v>
                </c:pt>
                <c:pt idx="1">
                  <c:v>-0.27547589119159305</c:v>
                </c:pt>
                <c:pt idx="2">
                  <c:v>0.16536739366390812</c:v>
                </c:pt>
                <c:pt idx="3">
                  <c:v>0.46008791542088207</c:v>
                </c:pt>
                <c:pt idx="4">
                  <c:v>0.83053931984333185</c:v>
                </c:pt>
                <c:pt idx="5">
                  <c:v>1.1625184518664073</c:v>
                </c:pt>
                <c:pt idx="6">
                  <c:v>1.1995723549052042</c:v>
                </c:pt>
                <c:pt idx="7">
                  <c:v>1.6325893166520444</c:v>
                </c:pt>
                <c:pt idx="8">
                  <c:v>1.6946051989335686</c:v>
                </c:pt>
                <c:pt idx="9">
                  <c:v>1.9199492952397452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22296"/>
        <c:axId val="784623864"/>
      </c:scatterChart>
      <c:valAx>
        <c:axId val="78462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log_tR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23864"/>
        <c:crosses val="autoZero"/>
        <c:crossBetween val="midCat"/>
      </c:valAx>
      <c:valAx>
        <c:axId val="78462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22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relationship between rt and %HSA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0556430446194227E-2"/>
                  <c:y val="-2.71638961796442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standards_171113!$H$3:$H$12</c:f>
              <c:numCache>
                <c:formatCode>0.000</c:formatCode>
                <c:ptCount val="10"/>
                <c:pt idx="0">
                  <c:v>0.88404587262101197</c:v>
                </c:pt>
                <c:pt idx="1">
                  <c:v>0.45178643552429026</c:v>
                </c:pt>
                <c:pt idx="2">
                  <c:v>0.68033551341456322</c:v>
                </c:pt>
                <c:pt idx="3">
                  <c:v>0.69983772586724569</c:v>
                </c:pt>
                <c:pt idx="4">
                  <c:v>0.72098574415373906</c:v>
                </c:pt>
                <c:pt idx="5">
                  <c:v>0.87852179550120646</c:v>
                </c:pt>
                <c:pt idx="6">
                  <c:v>0.77887447200273952</c:v>
                </c:pt>
                <c:pt idx="7">
                  <c:v>0.99825933842369874</c:v>
                </c:pt>
                <c:pt idx="8">
                  <c:v>1.1389339402569236</c:v>
                </c:pt>
                <c:pt idx="9">
                  <c:v>1.0526939419249679</c:v>
                </c:pt>
              </c:numCache>
            </c:numRef>
          </c:xVal>
          <c:yVal>
            <c:numRef>
              <c:f>standards_171113!$J$3:$J$12</c:f>
              <c:numCache>
                <c:formatCode>0.00</c:formatCode>
                <c:ptCount val="10"/>
                <c:pt idx="0">
                  <c:v>1.5141048209728323</c:v>
                </c:pt>
                <c:pt idx="1">
                  <c:v>-0.27547589119159305</c:v>
                </c:pt>
                <c:pt idx="2">
                  <c:v>0.16536739366390812</c:v>
                </c:pt>
                <c:pt idx="3">
                  <c:v>0.46008791542088207</c:v>
                </c:pt>
                <c:pt idx="4">
                  <c:v>0.83053931984333185</c:v>
                </c:pt>
                <c:pt idx="5">
                  <c:v>1.1625184518664073</c:v>
                </c:pt>
                <c:pt idx="6">
                  <c:v>1.1995723549052042</c:v>
                </c:pt>
                <c:pt idx="7">
                  <c:v>1.6325893166520444</c:v>
                </c:pt>
                <c:pt idx="8">
                  <c:v>1.6946051989335686</c:v>
                </c:pt>
                <c:pt idx="9">
                  <c:v>1.9199492952397452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24648"/>
        <c:axId val="784625432"/>
      </c:scatterChart>
      <c:valAx>
        <c:axId val="784624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log_tR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25432"/>
        <c:crosses val="autoZero"/>
        <c:crossBetween val="midCat"/>
      </c:valAx>
      <c:valAx>
        <c:axId val="78462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24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relationship between rt and %HSA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0556430446194227E-2"/>
                  <c:y val="-2.71638961796442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standards_181209!$H$3:$H$12</c:f>
              <c:numCache>
                <c:formatCode>0.000</c:formatCode>
                <c:ptCount val="10"/>
                <c:pt idx="0">
                  <c:v>0.85003325768976901</c:v>
                </c:pt>
                <c:pt idx="1">
                  <c:v>0.36172783601759284</c:v>
                </c:pt>
                <c:pt idx="2">
                  <c:v>0.65513843481138212</c:v>
                </c:pt>
                <c:pt idx="3">
                  <c:v>0.68752896121463436</c:v>
                </c:pt>
                <c:pt idx="4">
                  <c:v>0.70586371228391931</c:v>
                </c:pt>
                <c:pt idx="5">
                  <c:v>0.86391737695786042</c:v>
                </c:pt>
                <c:pt idx="6">
                  <c:v>0.78675142214556115</c:v>
                </c:pt>
                <c:pt idx="7">
                  <c:v>0.97909290063832632</c:v>
                </c:pt>
                <c:pt idx="8">
                  <c:v>1.1271047983648077</c:v>
                </c:pt>
                <c:pt idx="9">
                  <c:v>1.0374264979406236</c:v>
                </c:pt>
              </c:numCache>
            </c:numRef>
          </c:xVal>
          <c:yVal>
            <c:numRef>
              <c:f>standards_181209!$J$3:$J$12</c:f>
              <c:numCache>
                <c:formatCode>0.00</c:formatCode>
                <c:ptCount val="10"/>
                <c:pt idx="0">
                  <c:v>1.5141048209728323</c:v>
                </c:pt>
                <c:pt idx="1">
                  <c:v>-0.27547589119159305</c:v>
                </c:pt>
                <c:pt idx="2">
                  <c:v>0.16536739366390812</c:v>
                </c:pt>
                <c:pt idx="3">
                  <c:v>0.46008791542088207</c:v>
                </c:pt>
                <c:pt idx="4">
                  <c:v>0.83053931984333185</c:v>
                </c:pt>
                <c:pt idx="5">
                  <c:v>1.1625184518664073</c:v>
                </c:pt>
                <c:pt idx="6">
                  <c:v>1.1995723549052042</c:v>
                </c:pt>
                <c:pt idx="7">
                  <c:v>1.6325893166520444</c:v>
                </c:pt>
                <c:pt idx="8">
                  <c:v>1.6946051989335686</c:v>
                </c:pt>
                <c:pt idx="9">
                  <c:v>1.9199492952397452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96-4AFC-B9D3-EC368B75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262336"/>
        <c:axId val="654267432"/>
      </c:scatterChart>
      <c:valAx>
        <c:axId val="65426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log_tR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267432"/>
        <c:crosses val="autoZero"/>
        <c:crossBetween val="midCat"/>
      </c:valAx>
      <c:valAx>
        <c:axId val="65426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26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</xdr:colOff>
      <xdr:row>14</xdr:row>
      <xdr:rowOff>6667</xdr:rowOff>
    </xdr:from>
    <xdr:to>
      <xdr:col>14</xdr:col>
      <xdr:colOff>307657</xdr:colOff>
      <xdr:row>29</xdr:row>
      <xdr:rowOff>82867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</xdr:colOff>
      <xdr:row>14</xdr:row>
      <xdr:rowOff>6667</xdr:rowOff>
    </xdr:from>
    <xdr:to>
      <xdr:col>14</xdr:col>
      <xdr:colOff>307657</xdr:colOff>
      <xdr:row>29</xdr:row>
      <xdr:rowOff>82867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</xdr:colOff>
      <xdr:row>14</xdr:row>
      <xdr:rowOff>6667</xdr:rowOff>
    </xdr:from>
    <xdr:to>
      <xdr:col>14</xdr:col>
      <xdr:colOff>307657</xdr:colOff>
      <xdr:row>29</xdr:row>
      <xdr:rowOff>82867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1113_HSA_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81209_HSA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s_HSA"/>
      <sheetName val="171113"/>
    </sheetNames>
    <sheetDataSet>
      <sheetData sheetId="0">
        <row r="3">
          <cell r="H3">
            <v>0.88404587262101197</v>
          </cell>
          <cell r="J3">
            <v>1.5141048209728323</v>
          </cell>
        </row>
        <row r="4">
          <cell r="H4">
            <v>0.45178643552429026</v>
          </cell>
          <cell r="J4">
            <v>-0.27547589119159305</v>
          </cell>
        </row>
        <row r="5">
          <cell r="H5">
            <v>0.68033551341456322</v>
          </cell>
          <cell r="J5">
            <v>0.16536739366390812</v>
          </cell>
        </row>
        <row r="6">
          <cell r="H6">
            <v>0.69983772586724569</v>
          </cell>
          <cell r="J6">
            <v>0.46008791542088207</v>
          </cell>
        </row>
        <row r="7">
          <cell r="H7">
            <v>0.72098574415373906</v>
          </cell>
          <cell r="J7">
            <v>0.83053931984333185</v>
          </cell>
        </row>
        <row r="8">
          <cell r="H8">
            <v>0.87852179550120646</v>
          </cell>
          <cell r="J8">
            <v>1.1625184518664073</v>
          </cell>
        </row>
        <row r="9">
          <cell r="H9">
            <v>0.77887447200273952</v>
          </cell>
          <cell r="J9">
            <v>1.1995723549052042</v>
          </cell>
        </row>
        <row r="10">
          <cell r="H10">
            <v>0.99825933842369874</v>
          </cell>
          <cell r="J10">
            <v>1.6325893166520444</v>
          </cell>
        </row>
        <row r="11">
          <cell r="H11">
            <v>1.1389339402569236</v>
          </cell>
          <cell r="J11">
            <v>1.6946051989335686</v>
          </cell>
        </row>
        <row r="12">
          <cell r="H12">
            <v>1.0526939419249679</v>
          </cell>
          <cell r="J12">
            <v>1.9199492952397452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s_HSA"/>
      <sheetName val="181209"/>
    </sheetNames>
    <sheetDataSet>
      <sheetData sheetId="0">
        <row r="3">
          <cell r="I3">
            <v>0.85003325768976901</v>
          </cell>
          <cell r="K3">
            <v>1.5141048209728323</v>
          </cell>
        </row>
        <row r="4">
          <cell r="I4">
            <v>0.36172783601759284</v>
          </cell>
          <cell r="K4">
            <v>-0.27547589119159305</v>
          </cell>
        </row>
        <row r="5">
          <cell r="I5">
            <v>0.65513843481138212</v>
          </cell>
          <cell r="K5">
            <v>0.16536739366390812</v>
          </cell>
        </row>
        <row r="6">
          <cell r="I6">
            <v>0.68752896121463436</v>
          </cell>
          <cell r="K6">
            <v>0.46008791542088207</v>
          </cell>
        </row>
        <row r="7">
          <cell r="I7">
            <v>0.70586371228391931</v>
          </cell>
          <cell r="K7">
            <v>0.83053931984333185</v>
          </cell>
        </row>
        <row r="8">
          <cell r="I8">
            <v>0.86391737695786042</v>
          </cell>
          <cell r="K8">
            <v>1.1625184518664073</v>
          </cell>
        </row>
        <row r="9">
          <cell r="I9">
            <v>0.78675142214556115</v>
          </cell>
          <cell r="K9">
            <v>1.1995723549052042</v>
          </cell>
        </row>
        <row r="10">
          <cell r="I10">
            <v>0.97909290063832632</v>
          </cell>
          <cell r="K10">
            <v>1.6325893166520444</v>
          </cell>
        </row>
        <row r="11">
          <cell r="I11">
            <v>1.1271047983648077</v>
          </cell>
          <cell r="K11">
            <v>1.6946051989335686</v>
          </cell>
        </row>
        <row r="12">
          <cell r="I12">
            <v>1.0374264979406236</v>
          </cell>
          <cell r="K12">
            <v>1.9199492952397452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/>
  </sheetViews>
  <sheetFormatPr defaultRowHeight="14.4" x14ac:dyDescent="0.3"/>
  <cols>
    <col min="2" max="2" width="16.33203125" bestFit="1" customWidth="1"/>
    <col min="8" max="8" width="10.21875" bestFit="1" customWidth="1"/>
    <col min="12" max="12" width="9" bestFit="1" customWidth="1"/>
    <col min="13" max="13" width="9.5546875" bestFit="1" customWidth="1"/>
  </cols>
  <sheetData>
    <row r="1" spans="2:13" s="3" customFormat="1" x14ac:dyDescent="0.3">
      <c r="C1" s="3" t="s">
        <v>21</v>
      </c>
    </row>
    <row r="2" spans="2:13" x14ac:dyDescent="0.3">
      <c r="B2" s="3" t="s">
        <v>0</v>
      </c>
      <c r="C2" s="3" t="s">
        <v>14</v>
      </c>
      <c r="D2" t="s">
        <v>15</v>
      </c>
      <c r="E2" t="s">
        <v>15</v>
      </c>
      <c r="F2" t="s">
        <v>17</v>
      </c>
      <c r="G2" t="s">
        <v>16</v>
      </c>
      <c r="H2" t="s">
        <v>20</v>
      </c>
      <c r="I2" t="s">
        <v>22</v>
      </c>
      <c r="J2" t="s">
        <v>18</v>
      </c>
      <c r="L2" t="s">
        <v>23</v>
      </c>
      <c r="M2" t="s">
        <v>24</v>
      </c>
    </row>
    <row r="3" spans="2:13" x14ac:dyDescent="0.3">
      <c r="B3" t="s">
        <v>5</v>
      </c>
      <c r="C3">
        <v>98</v>
      </c>
      <c r="D3" s="3">
        <v>7.23</v>
      </c>
      <c r="E3">
        <v>7.23</v>
      </c>
      <c r="F3">
        <f>LOG10(D3)</f>
        <v>0.85913829729453084</v>
      </c>
      <c r="G3" s="3">
        <f>LOG10(E3)</f>
        <v>0.85913829729453084</v>
      </c>
      <c r="H3" s="2">
        <f>AVERAGE(F3:G3)</f>
        <v>0.85913829729453084</v>
      </c>
      <c r="I3" s="2">
        <f>STDEV(F3:G3)</f>
        <v>0</v>
      </c>
      <c r="J3" s="1">
        <f t="shared" ref="J3:J12" si="0">LOG10(C3/(101-C3))</f>
        <v>1.5141048209728323</v>
      </c>
      <c r="L3" s="1">
        <f>F$17*H3+F$18</f>
        <v>1.1445521018934841</v>
      </c>
      <c r="M3" s="1">
        <f>(101*(10^L3))/(1+(10^L3))</f>
        <v>94.243826276895973</v>
      </c>
    </row>
    <row r="4" spans="2:13" x14ac:dyDescent="0.3">
      <c r="B4" s="3" t="s">
        <v>6</v>
      </c>
      <c r="C4" s="3">
        <v>35</v>
      </c>
      <c r="D4" s="3">
        <v>2.65</v>
      </c>
      <c r="E4">
        <v>2.73</v>
      </c>
      <c r="F4" s="3">
        <f t="shared" ref="F4:F12" si="1">LOG10(D4)</f>
        <v>0.42324587393680785</v>
      </c>
      <c r="G4" s="3">
        <f t="shared" ref="G4:G12" si="2">LOG10(E4)</f>
        <v>0.43616264704075602</v>
      </c>
      <c r="H4" s="2">
        <f t="shared" ref="H4:H12" si="3">AVERAGE(F4:G4)</f>
        <v>0.42970426048878196</v>
      </c>
      <c r="I4" s="2">
        <f t="shared" ref="I4:I12" si="4">STDEV(F4:G4)</f>
        <v>9.1335378528497654E-3</v>
      </c>
      <c r="J4" s="1">
        <f t="shared" si="0"/>
        <v>-0.27547589119159305</v>
      </c>
      <c r="L4" s="1">
        <f>F$17*H4+F$18</f>
        <v>-0.23269808441971729</v>
      </c>
      <c r="M4" s="1">
        <f t="shared" ref="M4:M12" si="5">(101*(10^L4))/(1+(10^L4))</f>
        <v>37.28551210653125</v>
      </c>
    </row>
    <row r="5" spans="2:13" x14ac:dyDescent="0.3">
      <c r="B5" s="3" t="s">
        <v>7</v>
      </c>
      <c r="C5" s="3">
        <v>60</v>
      </c>
      <c r="D5" s="3">
        <v>4.8499999999999996</v>
      </c>
      <c r="E5">
        <v>4.8</v>
      </c>
      <c r="F5" s="3">
        <f t="shared" si="1"/>
        <v>0.68574173860226362</v>
      </c>
      <c r="G5" s="3">
        <f t="shared" si="2"/>
        <v>0.68124123737558717</v>
      </c>
      <c r="H5" s="2">
        <f t="shared" si="3"/>
        <v>0.68349148798892534</v>
      </c>
      <c r="I5" s="2">
        <f t="shared" si="4"/>
        <v>3.1823349361212901E-3</v>
      </c>
      <c r="J5" s="1">
        <f t="shared" si="0"/>
        <v>0.16536739366390812</v>
      </c>
      <c r="L5" s="1">
        <f>F$17*H5+F$18</f>
        <v>0.58123019420108002</v>
      </c>
      <c r="M5" s="1">
        <f t="shared" si="5"/>
        <v>80.013765748271311</v>
      </c>
    </row>
    <row r="6" spans="2:13" x14ac:dyDescent="0.3">
      <c r="B6" s="3" t="s">
        <v>8</v>
      </c>
      <c r="C6" s="3">
        <v>75</v>
      </c>
      <c r="D6" s="3">
        <v>4.96</v>
      </c>
      <c r="E6" s="4">
        <v>4.97</v>
      </c>
      <c r="F6" s="3">
        <f t="shared" si="1"/>
        <v>0.69548167649019743</v>
      </c>
      <c r="G6" s="3">
        <f t="shared" si="2"/>
        <v>0.69635638873333205</v>
      </c>
      <c r="H6" s="2">
        <f t="shared" si="3"/>
        <v>0.6959190326117648</v>
      </c>
      <c r="I6" s="2">
        <f t="shared" si="4"/>
        <v>6.1851495870738824E-4</v>
      </c>
      <c r="J6" s="1">
        <f t="shared" si="0"/>
        <v>0.46008791542088207</v>
      </c>
      <c r="L6" s="1">
        <f>F$17*H6+F$18</f>
        <v>0.62108692813519872</v>
      </c>
      <c r="M6" s="1">
        <f t="shared" si="5"/>
        <v>81.498693123271835</v>
      </c>
    </row>
    <row r="7" spans="2:13" x14ac:dyDescent="0.3">
      <c r="B7" s="3" t="s">
        <v>9</v>
      </c>
      <c r="C7" s="3">
        <v>88</v>
      </c>
      <c r="D7" s="3">
        <v>5.26</v>
      </c>
      <c r="E7" s="4">
        <v>5.26</v>
      </c>
      <c r="F7" s="3">
        <f t="shared" si="1"/>
        <v>0.72098574415373906</v>
      </c>
      <c r="G7" s="3">
        <f t="shared" si="2"/>
        <v>0.72098574415373906</v>
      </c>
      <c r="H7" s="2">
        <f t="shared" si="3"/>
        <v>0.72098574415373906</v>
      </c>
      <c r="I7" s="2">
        <f t="shared" si="4"/>
        <v>0</v>
      </c>
      <c r="J7" s="1">
        <f t="shared" si="0"/>
        <v>0.83053931984333185</v>
      </c>
      <c r="L7" s="1">
        <f t="shared" ref="L7:L12" si="6">F$17*H7+F$18</f>
        <v>0.70147909592477631</v>
      </c>
      <c r="M7" s="1">
        <f t="shared" si="5"/>
        <v>84.247554707266019</v>
      </c>
    </row>
    <row r="8" spans="2:13" x14ac:dyDescent="0.3">
      <c r="B8" s="3" t="s">
        <v>10</v>
      </c>
      <c r="C8" s="3">
        <v>94.5</v>
      </c>
      <c r="D8" s="3">
        <v>7.47</v>
      </c>
      <c r="E8" s="4">
        <v>7.42</v>
      </c>
      <c r="F8" s="3">
        <f t="shared" si="1"/>
        <v>0.87332060181539872</v>
      </c>
      <c r="G8" s="3">
        <f t="shared" si="2"/>
        <v>0.87040390527902711</v>
      </c>
      <c r="H8" s="2">
        <f t="shared" si="3"/>
        <v>0.87186225354721292</v>
      </c>
      <c r="I8" s="2">
        <f t="shared" si="4"/>
        <v>2.0624158995316811E-3</v>
      </c>
      <c r="J8" s="1">
        <f t="shared" si="0"/>
        <v>1.1625184518664073</v>
      </c>
      <c r="L8" s="1">
        <f t="shared" si="6"/>
        <v>1.1853594660465363</v>
      </c>
      <c r="M8" s="1">
        <f t="shared" si="5"/>
        <v>94.812621436758789</v>
      </c>
    </row>
    <row r="9" spans="2:13" x14ac:dyDescent="0.3">
      <c r="B9" s="3" t="s">
        <v>11</v>
      </c>
      <c r="C9" s="3">
        <v>95</v>
      </c>
      <c r="D9" s="3">
        <v>5.97</v>
      </c>
      <c r="E9" s="4">
        <v>5.97</v>
      </c>
      <c r="F9" s="3">
        <f t="shared" si="1"/>
        <v>0.77597433112936909</v>
      </c>
      <c r="G9" s="3">
        <f t="shared" si="2"/>
        <v>0.77597433112936909</v>
      </c>
      <c r="H9" s="2">
        <f t="shared" si="3"/>
        <v>0.77597433112936909</v>
      </c>
      <c r="I9" s="2">
        <f t="shared" si="4"/>
        <v>0</v>
      </c>
      <c r="J9" s="1">
        <f t="shared" si="0"/>
        <v>1.1995723549052042</v>
      </c>
      <c r="L9" s="1">
        <f t="shared" si="6"/>
        <v>0.87783456653583847</v>
      </c>
      <c r="M9" s="1">
        <f t="shared" si="5"/>
        <v>89.184434877291068</v>
      </c>
    </row>
    <row r="10" spans="2:13" x14ac:dyDescent="0.3">
      <c r="B10" s="3" t="s">
        <v>12</v>
      </c>
      <c r="C10" s="3">
        <v>98.7</v>
      </c>
      <c r="D10" s="3">
        <v>9.81</v>
      </c>
      <c r="E10" s="4">
        <v>9.9499999999999993</v>
      </c>
      <c r="F10" s="3">
        <f t="shared" si="1"/>
        <v>0.99166900737994856</v>
      </c>
      <c r="G10" s="3">
        <f t="shared" si="2"/>
        <v>0.99782308074572545</v>
      </c>
      <c r="H10" s="2">
        <f t="shared" si="3"/>
        <v>0.99474604406283706</v>
      </c>
      <c r="I10" s="2">
        <f t="shared" si="4"/>
        <v>4.35158700886036E-3</v>
      </c>
      <c r="J10" s="1">
        <f t="shared" si="0"/>
        <v>1.6325893166520444</v>
      </c>
      <c r="L10" s="1">
        <f t="shared" si="6"/>
        <v>1.579463586533546</v>
      </c>
      <c r="M10" s="1">
        <f t="shared" si="5"/>
        <v>98.408396436080835</v>
      </c>
    </row>
    <row r="11" spans="2:13" x14ac:dyDescent="0.3">
      <c r="B11" s="3" t="s">
        <v>19</v>
      </c>
      <c r="C11" s="3">
        <v>99</v>
      </c>
      <c r="D11">
        <v>14.01</v>
      </c>
      <c r="E11" s="4">
        <v>14.1</v>
      </c>
      <c r="F11" s="3">
        <f t="shared" si="1"/>
        <v>1.1464381352857747</v>
      </c>
      <c r="G11" s="3">
        <f t="shared" si="2"/>
        <v>1.1492191126553799</v>
      </c>
      <c r="H11" s="2">
        <f t="shared" si="3"/>
        <v>1.1478286239705773</v>
      </c>
      <c r="I11" s="2">
        <f t="shared" si="4"/>
        <v>1.9664479563742021E-3</v>
      </c>
      <c r="J11" s="1">
        <f t="shared" si="0"/>
        <v>1.6946051989335686</v>
      </c>
      <c r="L11" s="1">
        <f t="shared" si="6"/>
        <v>2.0704191085212207</v>
      </c>
      <c r="M11" s="1">
        <f t="shared" si="5"/>
        <v>100.14842089374297</v>
      </c>
    </row>
    <row r="12" spans="2:13" x14ac:dyDescent="0.3">
      <c r="B12" s="3" t="s">
        <v>13</v>
      </c>
      <c r="C12" s="3">
        <v>99.8</v>
      </c>
      <c r="D12">
        <v>11.42</v>
      </c>
      <c r="E12" s="4">
        <v>11.32</v>
      </c>
      <c r="F12" s="3">
        <f t="shared" si="1"/>
        <v>1.0576661039098292</v>
      </c>
      <c r="G12" s="3">
        <f t="shared" si="2"/>
        <v>1.0538464268522527</v>
      </c>
      <c r="H12" s="2">
        <f t="shared" si="3"/>
        <v>1.0557562653810408</v>
      </c>
      <c r="I12" s="2">
        <f t="shared" si="4"/>
        <v>2.7009195493549972E-3</v>
      </c>
      <c r="J12" s="1">
        <f t="shared" si="0"/>
        <v>1.9199492952397452</v>
      </c>
      <c r="L12" s="1">
        <f t="shared" si="6"/>
        <v>1.7751312129343717</v>
      </c>
      <c r="M12" s="1">
        <f t="shared" si="5"/>
        <v>99.332899054897069</v>
      </c>
    </row>
    <row r="13" spans="2:13" x14ac:dyDescent="0.3">
      <c r="B13" s="3"/>
      <c r="D13" s="3"/>
    </row>
    <row r="14" spans="2:13" s="3" customFormat="1" x14ac:dyDescent="0.3"/>
    <row r="15" spans="2:13" x14ac:dyDescent="0.3">
      <c r="B15" t="s">
        <v>4</v>
      </c>
    </row>
    <row r="16" spans="2:13" x14ac:dyDescent="0.3">
      <c r="B16" s="3" t="s">
        <v>27</v>
      </c>
      <c r="C16" s="3"/>
      <c r="D16" s="3"/>
    </row>
    <row r="17" spans="2:6" x14ac:dyDescent="0.3">
      <c r="B17" s="3"/>
      <c r="E17" s="3" t="s">
        <v>2</v>
      </c>
      <c r="F17" s="2">
        <f>SLOPE(J3:J12,H3:H12)</f>
        <v>3.2071286117830238</v>
      </c>
    </row>
    <row r="18" spans="2:6" x14ac:dyDescent="0.3">
      <c r="B18" s="3"/>
      <c r="E18" s="3" t="s">
        <v>3</v>
      </c>
      <c r="F18" s="2">
        <f>INTERCEPT(J3:J12,H3:H12)</f>
        <v>-1.6108149128383553</v>
      </c>
    </row>
    <row r="19" spans="2:6" s="3" customFormat="1" x14ac:dyDescent="0.3">
      <c r="D19" s="2"/>
    </row>
    <row r="21" spans="2:6" x14ac:dyDescent="0.3">
      <c r="B21" s="3"/>
      <c r="C21" s="3"/>
      <c r="D21" s="1"/>
      <c r="E21" s="1"/>
    </row>
    <row r="22" spans="2:6" x14ac:dyDescent="0.3">
      <c r="B22" s="3"/>
      <c r="C22" s="3"/>
      <c r="D22" s="1"/>
      <c r="E22" s="1"/>
    </row>
    <row r="23" spans="2:6" x14ac:dyDescent="0.3">
      <c r="B23" s="3"/>
      <c r="C23" s="3"/>
      <c r="D23" s="1"/>
      <c r="E23" s="1"/>
    </row>
  </sheetData>
  <sortState ref="B2:D17">
    <sortCondition ref="C2:C1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zoomScaleNormal="100" workbookViewId="0"/>
  </sheetViews>
  <sheetFormatPr defaultRowHeight="14.4" x14ac:dyDescent="0.3"/>
  <cols>
    <col min="2" max="2" width="16.33203125" style="7" bestFit="1" customWidth="1"/>
  </cols>
  <sheetData>
    <row r="2" spans="2:7" x14ac:dyDescent="0.3">
      <c r="B2" s="7" t="s">
        <v>0</v>
      </c>
      <c r="C2" t="s">
        <v>1</v>
      </c>
      <c r="D2" t="s">
        <v>25</v>
      </c>
      <c r="E2" t="s">
        <v>23</v>
      </c>
      <c r="F2" t="s">
        <v>26</v>
      </c>
      <c r="G2" t="s">
        <v>28</v>
      </c>
    </row>
    <row r="3" spans="2:7" s="3" customFormat="1" x14ac:dyDescent="0.3">
      <c r="B3" s="8">
        <v>3</v>
      </c>
      <c r="C3" s="3">
        <v>6.53</v>
      </c>
      <c r="D3" s="3">
        <f t="shared" ref="D3:D18" si="0">LOG10(C3)</f>
        <v>0.81491318127507395</v>
      </c>
      <c r="E3" s="1">
        <f>(standards_170908!$F$17*'170908'!D3)+standards_170908!$F$18</f>
        <v>1.0027164669480604</v>
      </c>
      <c r="F3" s="5">
        <f t="shared" ref="F3:F18" si="1">(101*(10^E3))/(1+(10^E3))</f>
        <v>91.870258684436592</v>
      </c>
      <c r="G3" s="6">
        <f t="shared" ref="G3:G18" si="2">100-F3</f>
        <v>8.1297413155634075</v>
      </c>
    </row>
    <row r="4" spans="2:7" s="3" customFormat="1" x14ac:dyDescent="0.3">
      <c r="B4" s="8">
        <v>14</v>
      </c>
      <c r="C4" s="3">
        <v>5.94</v>
      </c>
      <c r="D4" s="3">
        <f t="shared" si="0"/>
        <v>0.77378644498119353</v>
      </c>
      <c r="E4" s="1">
        <f>(standards_170908!$F$17*'170908'!D4)+standards_170908!$F$18</f>
        <v>0.87081773427070108</v>
      </c>
      <c r="F4" s="5">
        <f t="shared" si="1"/>
        <v>89.014819445127046</v>
      </c>
      <c r="G4" s="6">
        <f t="shared" si="2"/>
        <v>10.985180554872954</v>
      </c>
    </row>
    <row r="5" spans="2:7" x14ac:dyDescent="0.3">
      <c r="B5" s="8">
        <v>17</v>
      </c>
      <c r="C5" s="3">
        <v>6.01</v>
      </c>
      <c r="D5" s="3">
        <f t="shared" si="0"/>
        <v>0.77887447200273952</v>
      </c>
      <c r="E5" s="1">
        <f>(standards_170908!$F$17*'170908'!D5)+standards_170908!$F$18</f>
        <v>0.88713569130902648</v>
      </c>
      <c r="F5" s="5">
        <f t="shared" si="1"/>
        <v>89.406054878402998</v>
      </c>
      <c r="G5" s="6">
        <f t="shared" si="2"/>
        <v>10.593945121597002</v>
      </c>
    </row>
    <row r="6" spans="2:7" x14ac:dyDescent="0.3">
      <c r="B6" s="8">
        <v>18</v>
      </c>
      <c r="C6" s="3">
        <v>6.56</v>
      </c>
      <c r="D6" s="3">
        <f t="shared" si="0"/>
        <v>0.81690383937566025</v>
      </c>
      <c r="E6" s="1">
        <f>(standards_170908!$F$17*'170908'!D6)+standards_170908!$F$18</f>
        <v>1.0091007634987281</v>
      </c>
      <c r="F6" s="5">
        <f t="shared" si="1"/>
        <v>91.991604777012668</v>
      </c>
      <c r="G6" s="6">
        <f t="shared" si="2"/>
        <v>8.0083952229873319</v>
      </c>
    </row>
    <row r="7" spans="2:7" s="3" customFormat="1" x14ac:dyDescent="0.3">
      <c r="B7" s="8">
        <v>9</v>
      </c>
      <c r="C7" s="3">
        <v>4.5599999999999996</v>
      </c>
      <c r="D7" s="3">
        <f t="shared" si="0"/>
        <v>0.658964842664435</v>
      </c>
      <c r="E7" s="1">
        <f>(standards_170908!$F$17*'170908'!D7)+standards_170908!$F$18</f>
        <v>0.50257008822985294</v>
      </c>
      <c r="F7" s="5">
        <f t="shared" si="1"/>
        <v>76.843371389829784</v>
      </c>
      <c r="G7" s="6">
        <f t="shared" si="2"/>
        <v>23.156628610170216</v>
      </c>
    </row>
    <row r="8" spans="2:7" x14ac:dyDescent="0.3">
      <c r="B8" s="8">
        <v>7</v>
      </c>
      <c r="C8" s="4">
        <v>2.64</v>
      </c>
      <c r="D8">
        <f t="shared" si="0"/>
        <v>0.42160392686983106</v>
      </c>
      <c r="E8" s="1">
        <f>(standards_170908!$F$17*'170908'!D8)+standards_170908!$F$18</f>
        <v>-0.25867689613404266</v>
      </c>
      <c r="F8" s="5">
        <f t="shared" si="1"/>
        <v>35.88985833809312</v>
      </c>
      <c r="G8" s="6">
        <f t="shared" si="2"/>
        <v>64.11014166190688</v>
      </c>
    </row>
    <row r="9" spans="2:7" x14ac:dyDescent="0.3">
      <c r="B9" s="8" t="s">
        <v>29</v>
      </c>
      <c r="C9">
        <v>5.87</v>
      </c>
      <c r="D9">
        <f t="shared" si="0"/>
        <v>0.76863810124761445</v>
      </c>
      <c r="E9" s="1">
        <f>(standards_170908!$F$17*'170908'!D9)+standards_170908!$F$18</f>
        <v>0.85430633377944587</v>
      </c>
      <c r="F9" s="5">
        <f t="shared" si="1"/>
        <v>88.607369272534996</v>
      </c>
      <c r="G9" s="6">
        <f t="shared" si="2"/>
        <v>11.392630727465004</v>
      </c>
    </row>
    <row r="10" spans="2:7" x14ac:dyDescent="0.3">
      <c r="B10" s="8">
        <v>25</v>
      </c>
      <c r="C10">
        <v>7.98</v>
      </c>
      <c r="D10">
        <f t="shared" si="0"/>
        <v>0.90200289135072942</v>
      </c>
      <c r="E10" s="1">
        <f>(standards_170908!$F$17*'170908'!D10)+standards_170908!$F$18</f>
        <v>1.2820243679235832</v>
      </c>
      <c r="F10" s="5">
        <f t="shared" si="1"/>
        <v>95.986008818607331</v>
      </c>
      <c r="G10" s="6">
        <f t="shared" si="2"/>
        <v>4.0139911813926688</v>
      </c>
    </row>
    <row r="11" spans="2:7" x14ac:dyDescent="0.3">
      <c r="B11" s="8">
        <v>12</v>
      </c>
      <c r="C11">
        <v>5.43</v>
      </c>
      <c r="D11">
        <f t="shared" si="0"/>
        <v>0.73479982958884693</v>
      </c>
      <c r="E11" s="1">
        <f>(standards_170908!$F$17*'170908'!D11)+standards_170908!$F$18</f>
        <v>0.74578264456932586</v>
      </c>
      <c r="F11" s="5">
        <f t="shared" si="1"/>
        <v>85.624915498577366</v>
      </c>
      <c r="G11" s="6">
        <f t="shared" si="2"/>
        <v>14.375084501422634</v>
      </c>
    </row>
    <row r="12" spans="2:7" x14ac:dyDescent="0.3">
      <c r="B12" s="8">
        <v>2</v>
      </c>
      <c r="C12">
        <v>5.95</v>
      </c>
      <c r="D12">
        <f t="shared" si="0"/>
        <v>0.77451696572854956</v>
      </c>
      <c r="E12" s="1">
        <f>(standards_170908!$F$17*'170908'!D12)+standards_170908!$F$18</f>
        <v>0.87316060826104747</v>
      </c>
      <c r="F12" s="5">
        <f t="shared" si="1"/>
        <v>89.071685956921115</v>
      </c>
      <c r="G12" s="6">
        <f t="shared" si="2"/>
        <v>10.928314043078885</v>
      </c>
    </row>
    <row r="13" spans="2:7" x14ac:dyDescent="0.3">
      <c r="B13" s="8">
        <v>4</v>
      </c>
      <c r="C13">
        <v>6.45</v>
      </c>
      <c r="D13">
        <f t="shared" si="0"/>
        <v>0.80955971463526777</v>
      </c>
      <c r="E13" s="1">
        <f>(standards_170908!$F$17*'170908'!D13)+standards_170908!$F$18</f>
        <v>0.98554721091531206</v>
      </c>
      <c r="F13" s="5">
        <f t="shared" si="1"/>
        <v>91.536592714244577</v>
      </c>
      <c r="G13" s="6">
        <f t="shared" si="2"/>
        <v>8.463407285755423</v>
      </c>
    </row>
    <row r="14" spans="2:7" x14ac:dyDescent="0.3">
      <c r="B14" s="8">
        <v>6</v>
      </c>
      <c r="C14">
        <v>4.32</v>
      </c>
      <c r="D14">
        <f t="shared" si="0"/>
        <v>0.63548374681491215</v>
      </c>
      <c r="E14" s="1">
        <f>(standards_170908!$F$17*'170908'!D14)+standards_170908!$F$18</f>
        <v>0.42726319389482836</v>
      </c>
      <c r="F14" s="5">
        <f t="shared" si="1"/>
        <v>73.514215682313406</v>
      </c>
      <c r="G14" s="6">
        <f t="shared" si="2"/>
        <v>26.485784317686594</v>
      </c>
    </row>
    <row r="15" spans="2:7" x14ac:dyDescent="0.3">
      <c r="B15" s="8">
        <v>16</v>
      </c>
      <c r="C15">
        <v>6.11</v>
      </c>
      <c r="D15">
        <f t="shared" si="0"/>
        <v>0.78604121024255424</v>
      </c>
      <c r="E15" s="1">
        <f>(standards_170908!$F$17*'170908'!D15)+standards_170908!$F$18</f>
        <v>0.91012034257109575</v>
      </c>
      <c r="F15" s="5">
        <f t="shared" si="1"/>
        <v>89.938244299892375</v>
      </c>
      <c r="G15" s="6">
        <f t="shared" si="2"/>
        <v>10.061755700107625</v>
      </c>
    </row>
    <row r="16" spans="2:7" x14ac:dyDescent="0.3">
      <c r="B16" s="8">
        <v>19</v>
      </c>
      <c r="C16">
        <v>5.88</v>
      </c>
      <c r="D16">
        <f t="shared" si="0"/>
        <v>0.76937732607613851</v>
      </c>
      <c r="E16" s="1">
        <f>(standards_170908!$F$17*'170908'!D16)+standards_170908!$F$18</f>
        <v>0.8566771228775456</v>
      </c>
      <c r="F16" s="5">
        <f t="shared" si="1"/>
        <v>88.666597117548918</v>
      </c>
      <c r="G16" s="6">
        <f t="shared" si="2"/>
        <v>11.333402882451082</v>
      </c>
    </row>
    <row r="17" spans="2:7" x14ac:dyDescent="0.3">
      <c r="B17" s="8">
        <v>10</v>
      </c>
      <c r="C17">
        <v>5.56</v>
      </c>
      <c r="D17">
        <f t="shared" si="0"/>
        <v>0.74507479158205747</v>
      </c>
      <c r="E17" s="1">
        <f>(standards_170908!$F$17*'170908'!D17)+standards_170908!$F$18</f>
        <v>0.77873576916273435</v>
      </c>
      <c r="F17" s="5">
        <f t="shared" si="1"/>
        <v>86.588065836240801</v>
      </c>
      <c r="G17" s="6">
        <f t="shared" si="2"/>
        <v>13.411934163759199</v>
      </c>
    </row>
    <row r="18" spans="2:7" x14ac:dyDescent="0.3">
      <c r="B18" s="8">
        <v>13</v>
      </c>
      <c r="C18">
        <v>5.29</v>
      </c>
      <c r="D18">
        <f t="shared" si="0"/>
        <v>0.72345567203518579</v>
      </c>
      <c r="E18" s="1">
        <f>(standards_170908!$F$17*'170908'!D18)+standards_170908!$F$18</f>
        <v>0.70940047230240455</v>
      </c>
      <c r="F18" s="5">
        <f t="shared" si="1"/>
        <v>84.500880691950329</v>
      </c>
      <c r="G18" s="6">
        <f t="shared" si="2"/>
        <v>15.499119308049671</v>
      </c>
    </row>
    <row r="23" spans="2:7" x14ac:dyDescent="0.3">
      <c r="B23" s="9"/>
    </row>
    <row r="24" spans="2:7" x14ac:dyDescent="0.3">
      <c r="B24" s="10"/>
    </row>
    <row r="25" spans="2:7" x14ac:dyDescent="0.3">
      <c r="B25" s="10"/>
    </row>
    <row r="26" spans="2:7" x14ac:dyDescent="0.3">
      <c r="B26" s="10"/>
    </row>
    <row r="27" spans="2:7" x14ac:dyDescent="0.3">
      <c r="B27" s="10"/>
    </row>
    <row r="28" spans="2:7" x14ac:dyDescent="0.3">
      <c r="B28" s="10"/>
    </row>
    <row r="29" spans="2:7" x14ac:dyDescent="0.3">
      <c r="B29" s="10"/>
    </row>
    <row r="30" spans="2:7" x14ac:dyDescent="0.3">
      <c r="B30" s="10"/>
    </row>
    <row r="31" spans="2:7" x14ac:dyDescent="0.3">
      <c r="B31" s="10"/>
    </row>
    <row r="32" spans="2:7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1"/>
    </row>
    <row r="47" spans="2:2" x14ac:dyDescent="0.3">
      <c r="B47" s="12"/>
    </row>
    <row r="48" spans="2:2" x14ac:dyDescent="0.3">
      <c r="B48" s="12"/>
    </row>
    <row r="49" spans="2:2" x14ac:dyDescent="0.3">
      <c r="B49" s="12"/>
    </row>
    <row r="50" spans="2:2" x14ac:dyDescent="0.3">
      <c r="B50" s="12"/>
    </row>
    <row r="51" spans="2:2" x14ac:dyDescent="0.3">
      <c r="B51" s="12"/>
    </row>
    <row r="52" spans="2:2" x14ac:dyDescent="0.3">
      <c r="B52" s="12"/>
    </row>
    <row r="53" spans="2:2" x14ac:dyDescent="0.3">
      <c r="B53" s="12"/>
    </row>
    <row r="54" spans="2:2" x14ac:dyDescent="0.3">
      <c r="B54" s="12"/>
    </row>
    <row r="55" spans="2:2" x14ac:dyDescent="0.3">
      <c r="B55" s="12"/>
    </row>
    <row r="56" spans="2:2" x14ac:dyDescent="0.3">
      <c r="B56" s="12"/>
    </row>
    <row r="57" spans="2:2" x14ac:dyDescent="0.3">
      <c r="B57" s="11"/>
    </row>
    <row r="58" spans="2:2" x14ac:dyDescent="0.3">
      <c r="B58" s="12"/>
    </row>
  </sheetData>
  <conditionalFormatting sqref="B23:B58">
    <cfRule type="duplicateValues" dxfId="1" priority="2" stopIfTrue="1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/>
  </sheetViews>
  <sheetFormatPr defaultRowHeight="14.4" x14ac:dyDescent="0.3"/>
  <cols>
    <col min="1" max="1" width="8.88671875" style="3"/>
    <col min="2" max="2" width="16.33203125" style="3" bestFit="1" customWidth="1"/>
    <col min="3" max="7" width="8.88671875" style="3"/>
    <col min="8" max="8" width="10.21875" style="3" bestFit="1" customWidth="1"/>
    <col min="9" max="11" width="8.88671875" style="3"/>
    <col min="12" max="12" width="9" style="3" bestFit="1" customWidth="1"/>
    <col min="13" max="13" width="9.5546875" style="3" bestFit="1" customWidth="1"/>
    <col min="14" max="16384" width="8.88671875" style="3"/>
  </cols>
  <sheetData>
    <row r="1" spans="2:13" x14ac:dyDescent="0.3">
      <c r="C1" s="3" t="s">
        <v>21</v>
      </c>
    </row>
    <row r="2" spans="2:13" x14ac:dyDescent="0.3">
      <c r="B2" s="3" t="s">
        <v>0</v>
      </c>
      <c r="C2" s="3" t="s">
        <v>14</v>
      </c>
      <c r="D2" s="3" t="s">
        <v>15</v>
      </c>
      <c r="E2" s="3" t="s">
        <v>15</v>
      </c>
      <c r="F2" s="3" t="s">
        <v>17</v>
      </c>
      <c r="G2" s="3" t="s">
        <v>16</v>
      </c>
      <c r="H2" s="3" t="s">
        <v>20</v>
      </c>
      <c r="I2" s="3" t="s">
        <v>22</v>
      </c>
      <c r="J2" s="3" t="s">
        <v>18</v>
      </c>
      <c r="L2" s="3" t="s">
        <v>23</v>
      </c>
      <c r="M2" s="3" t="s">
        <v>24</v>
      </c>
    </row>
    <row r="3" spans="2:13" x14ac:dyDescent="0.3">
      <c r="B3" s="3" t="s">
        <v>5</v>
      </c>
      <c r="C3" s="3">
        <v>98</v>
      </c>
      <c r="D3" s="3">
        <v>7.31</v>
      </c>
      <c r="E3" s="3">
        <v>8.02</v>
      </c>
      <c r="F3" s="3">
        <f>LOG10(D3)</f>
        <v>0.86391737695786042</v>
      </c>
      <c r="G3" s="3">
        <f>IF(E3,LOG10(E3),"")</f>
        <v>0.90417436828416353</v>
      </c>
      <c r="H3" s="2">
        <f>AVERAGE(F3:G3)</f>
        <v>0.88404587262101197</v>
      </c>
      <c r="I3" s="2">
        <f>IF(E3,STDEV(F3:G3),"")</f>
        <v>2.8465991556996958E-2</v>
      </c>
      <c r="J3" s="1">
        <f t="shared" ref="J3:J12" si="0">LOG10(C3/(101-C3))</f>
        <v>1.5141048209728323</v>
      </c>
      <c r="L3" s="1">
        <f>F$17*H3+F$18</f>
        <v>1.2152334179763475</v>
      </c>
      <c r="M3" s="1">
        <f>(101*(10^L3))/(1+(10^L3))</f>
        <v>95.200307936304668</v>
      </c>
    </row>
    <row r="4" spans="2:13" x14ac:dyDescent="0.3">
      <c r="B4" s="3" t="s">
        <v>6</v>
      </c>
      <c r="C4" s="3">
        <v>35</v>
      </c>
      <c r="D4" s="3">
        <v>2.83</v>
      </c>
      <c r="F4" s="3">
        <f t="shared" ref="F4:F12" si="1">LOG10(D4)</f>
        <v>0.45178643552429026</v>
      </c>
      <c r="G4" s="3" t="str">
        <f t="shared" ref="G4:G12" si="2">IF(E4,LOG10(E4),"")</f>
        <v/>
      </c>
      <c r="H4" s="2">
        <f t="shared" ref="H4:H12" si="3">AVERAGE(F4:G4)</f>
        <v>0.45178643552429026</v>
      </c>
      <c r="I4" s="2" t="str">
        <f t="shared" ref="I4:I12" si="4">IF(E4,STDEV(F4:G4),"")</f>
        <v/>
      </c>
      <c r="J4" s="1">
        <f t="shared" si="0"/>
        <v>-0.27547589119159305</v>
      </c>
      <c r="L4" s="1">
        <f>F$17*H4+F$18</f>
        <v>-0.22137977760576377</v>
      </c>
      <c r="M4" s="1">
        <f t="shared" ref="M4:M12" si="5">(101*(10^L4))/(1+(10^L4))</f>
        <v>37.900565474311747</v>
      </c>
    </row>
    <row r="5" spans="2:13" x14ac:dyDescent="0.3">
      <c r="B5" s="3" t="s">
        <v>7</v>
      </c>
      <c r="C5" s="3">
        <v>60</v>
      </c>
      <c r="D5" s="3">
        <v>4.79</v>
      </c>
      <c r="F5" s="3">
        <f t="shared" si="1"/>
        <v>0.68033551341456322</v>
      </c>
      <c r="G5" s="3" t="str">
        <f t="shared" si="2"/>
        <v/>
      </c>
      <c r="H5" s="2">
        <f t="shared" si="3"/>
        <v>0.68033551341456322</v>
      </c>
      <c r="I5" s="2" t="str">
        <f t="shared" si="4"/>
        <v/>
      </c>
      <c r="J5" s="1">
        <f t="shared" si="0"/>
        <v>0.16536739366390812</v>
      </c>
      <c r="L5" s="1">
        <f>F$17*H5+F$18</f>
        <v>0.53820253097393711</v>
      </c>
      <c r="M5" s="1">
        <f t="shared" si="5"/>
        <v>78.318902641985488</v>
      </c>
    </row>
    <row r="6" spans="2:13" x14ac:dyDescent="0.3">
      <c r="B6" s="3" t="s">
        <v>8</v>
      </c>
      <c r="C6" s="3">
        <v>75</v>
      </c>
      <c r="D6" s="3">
        <v>5.01</v>
      </c>
      <c r="E6" s="4"/>
      <c r="F6" s="3">
        <f t="shared" si="1"/>
        <v>0.69983772586724569</v>
      </c>
      <c r="G6" s="3" t="str">
        <f t="shared" si="2"/>
        <v/>
      </c>
      <c r="H6" s="2">
        <f t="shared" si="3"/>
        <v>0.69983772586724569</v>
      </c>
      <c r="I6" s="2" t="str">
        <f t="shared" si="4"/>
        <v/>
      </c>
      <c r="J6" s="1">
        <f t="shared" si="0"/>
        <v>0.46008791542088207</v>
      </c>
      <c r="L6" s="1">
        <f>F$17*H6+F$18</f>
        <v>0.60301808697601555</v>
      </c>
      <c r="M6" s="1">
        <f t="shared" si="5"/>
        <v>80.83562693020518</v>
      </c>
    </row>
    <row r="7" spans="2:13" x14ac:dyDescent="0.3">
      <c r="B7" s="3" t="s">
        <v>9</v>
      </c>
      <c r="C7" s="3">
        <v>88</v>
      </c>
      <c r="D7" s="3">
        <v>5.26</v>
      </c>
      <c r="E7" s="4"/>
      <c r="F7" s="3">
        <f t="shared" si="1"/>
        <v>0.72098574415373906</v>
      </c>
      <c r="G7" s="3" t="str">
        <f t="shared" si="2"/>
        <v/>
      </c>
      <c r="H7" s="2">
        <f t="shared" si="3"/>
        <v>0.72098574415373906</v>
      </c>
      <c r="I7" s="2" t="str">
        <f t="shared" si="4"/>
        <v/>
      </c>
      <c r="J7" s="1">
        <f t="shared" si="0"/>
        <v>0.83053931984333185</v>
      </c>
      <c r="L7" s="1">
        <f t="shared" ref="L7:L12" si="6">F$17*H7+F$18</f>
        <v>0.67330347469327667</v>
      </c>
      <c r="M7" s="1">
        <f t="shared" si="5"/>
        <v>83.321224893993318</v>
      </c>
    </row>
    <row r="8" spans="2:13" x14ac:dyDescent="0.3">
      <c r="B8" s="3" t="s">
        <v>10</v>
      </c>
      <c r="C8" s="3">
        <v>94.5</v>
      </c>
      <c r="D8" s="3">
        <v>7.56</v>
      </c>
      <c r="E8" s="4"/>
      <c r="F8" s="3">
        <f t="shared" si="1"/>
        <v>0.87852179550120646</v>
      </c>
      <c r="G8" s="3" t="str">
        <f t="shared" si="2"/>
        <v/>
      </c>
      <c r="H8" s="2">
        <f t="shared" si="3"/>
        <v>0.87852179550120646</v>
      </c>
      <c r="I8" s="2" t="str">
        <f t="shared" si="4"/>
        <v/>
      </c>
      <c r="J8" s="1">
        <f t="shared" si="0"/>
        <v>1.1625184518664073</v>
      </c>
      <c r="L8" s="1">
        <f t="shared" si="6"/>
        <v>1.1968741610055156</v>
      </c>
      <c r="M8" s="1">
        <f t="shared" si="5"/>
        <v>94.964841416935926</v>
      </c>
    </row>
    <row r="9" spans="2:13" x14ac:dyDescent="0.3">
      <c r="B9" s="3" t="s">
        <v>11</v>
      </c>
      <c r="C9" s="3">
        <v>95</v>
      </c>
      <c r="D9" s="3">
        <v>6.01</v>
      </c>
      <c r="E9" s="4"/>
      <c r="F9" s="3">
        <f t="shared" si="1"/>
        <v>0.77887447200273952</v>
      </c>
      <c r="G9" s="3" t="str">
        <f t="shared" si="2"/>
        <v/>
      </c>
      <c r="H9" s="2">
        <f t="shared" si="3"/>
        <v>0.77887447200273952</v>
      </c>
      <c r="I9" s="2" t="str">
        <f t="shared" si="4"/>
        <v/>
      </c>
      <c r="J9" s="1">
        <f t="shared" si="0"/>
        <v>1.1995723549052042</v>
      </c>
      <c r="L9" s="1">
        <f t="shared" si="6"/>
        <v>0.86569652193801994</v>
      </c>
      <c r="M9" s="1">
        <f t="shared" si="5"/>
        <v>88.889699588105401</v>
      </c>
    </row>
    <row r="10" spans="2:13" x14ac:dyDescent="0.3">
      <c r="B10" s="3" t="s">
        <v>12</v>
      </c>
      <c r="C10" s="3">
        <v>98.7</v>
      </c>
      <c r="D10" s="3">
        <v>9.9600000000000009</v>
      </c>
      <c r="E10" s="4"/>
      <c r="F10" s="3">
        <f t="shared" si="1"/>
        <v>0.99825933842369874</v>
      </c>
      <c r="G10" s="3" t="str">
        <f t="shared" si="2"/>
        <v/>
      </c>
      <c r="H10" s="2">
        <f t="shared" si="3"/>
        <v>0.99825933842369874</v>
      </c>
      <c r="I10" s="2" t="str">
        <f t="shared" si="4"/>
        <v/>
      </c>
      <c r="J10" s="1">
        <f t="shared" si="0"/>
        <v>1.6325893166520444</v>
      </c>
      <c r="L10" s="1">
        <f t="shared" si="6"/>
        <v>1.5948215958247161</v>
      </c>
      <c r="M10" s="1">
        <f t="shared" si="5"/>
        <v>98.496209868529846</v>
      </c>
    </row>
    <row r="11" spans="2:13" x14ac:dyDescent="0.3">
      <c r="B11" s="3" t="s">
        <v>19</v>
      </c>
      <c r="C11" s="3">
        <v>99</v>
      </c>
      <c r="D11" s="3">
        <v>13.77</v>
      </c>
      <c r="E11" s="4"/>
      <c r="F11" s="3">
        <f t="shared" si="1"/>
        <v>1.1389339402569236</v>
      </c>
      <c r="G11" s="3" t="str">
        <f t="shared" si="2"/>
        <v/>
      </c>
      <c r="H11" s="2">
        <f t="shared" si="3"/>
        <v>1.1389339402569236</v>
      </c>
      <c r="I11" s="2" t="str">
        <f t="shared" si="4"/>
        <v/>
      </c>
      <c r="J11" s="1">
        <f t="shared" si="0"/>
        <v>1.6946051989335686</v>
      </c>
      <c r="L11" s="1">
        <f t="shared" si="6"/>
        <v>2.062353295385158</v>
      </c>
      <c r="M11" s="1">
        <f t="shared" si="5"/>
        <v>100.13259449563941</v>
      </c>
    </row>
    <row r="12" spans="2:13" x14ac:dyDescent="0.3">
      <c r="B12" s="3" t="s">
        <v>13</v>
      </c>
      <c r="C12" s="3">
        <v>99.8</v>
      </c>
      <c r="D12" s="3">
        <v>11.29</v>
      </c>
      <c r="E12" s="4"/>
      <c r="F12" s="3">
        <f t="shared" si="1"/>
        <v>1.0526939419249679</v>
      </c>
      <c r="G12" s="3" t="str">
        <f t="shared" si="2"/>
        <v/>
      </c>
      <c r="H12" s="2">
        <f t="shared" si="3"/>
        <v>1.0526939419249679</v>
      </c>
      <c r="I12" s="2" t="str">
        <f t="shared" si="4"/>
        <v/>
      </c>
      <c r="J12" s="1">
        <f t="shared" si="0"/>
        <v>1.9199492952397452</v>
      </c>
      <c r="L12" s="1">
        <f t="shared" si="6"/>
        <v>1.7757348691391057</v>
      </c>
      <c r="M12" s="1">
        <f t="shared" si="5"/>
        <v>99.335176496008941</v>
      </c>
    </row>
    <row r="15" spans="2:13" x14ac:dyDescent="0.3">
      <c r="B15" s="3" t="s">
        <v>4</v>
      </c>
    </row>
    <row r="16" spans="2:13" x14ac:dyDescent="0.3">
      <c r="B16" s="3" t="s">
        <v>27</v>
      </c>
    </row>
    <row r="17" spans="4:6" x14ac:dyDescent="0.3">
      <c r="E17" s="3" t="s">
        <v>2</v>
      </c>
      <c r="F17" s="2">
        <f>SLOPE(J3:J12,H3:H12)</f>
        <v>3.3234975856887008</v>
      </c>
    </row>
    <row r="18" spans="4:6" x14ac:dyDescent="0.3">
      <c r="E18" s="3" t="s">
        <v>3</v>
      </c>
      <c r="F18" s="2">
        <f>INTERCEPT(J3:J12,H3:H12)</f>
        <v>-1.7228909053176464</v>
      </c>
    </row>
    <row r="19" spans="4:6" x14ac:dyDescent="0.3">
      <c r="D19" s="2"/>
    </row>
    <row r="21" spans="4:6" x14ac:dyDescent="0.3">
      <c r="D21" s="1"/>
      <c r="E21" s="1"/>
    </row>
    <row r="22" spans="4:6" x14ac:dyDescent="0.3">
      <c r="D22" s="1"/>
      <c r="E22" s="1"/>
    </row>
    <row r="23" spans="4:6" x14ac:dyDescent="0.3">
      <c r="D23" s="1"/>
      <c r="E23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workbookViewId="0"/>
  </sheetViews>
  <sheetFormatPr defaultRowHeight="14.4" x14ac:dyDescent="0.3"/>
  <cols>
    <col min="1" max="1" width="8.88671875" style="3"/>
    <col min="2" max="2" width="16.33203125" style="7" bestFit="1" customWidth="1"/>
    <col min="3" max="16384" width="8.88671875" style="3"/>
  </cols>
  <sheetData>
    <row r="2" spans="2:7" x14ac:dyDescent="0.3">
      <c r="B2" s="7" t="s">
        <v>0</v>
      </c>
      <c r="C2" s="3" t="s">
        <v>1</v>
      </c>
      <c r="D2" s="3" t="s">
        <v>25</v>
      </c>
      <c r="E2" s="3" t="s">
        <v>23</v>
      </c>
      <c r="F2" s="3" t="s">
        <v>26</v>
      </c>
      <c r="G2" s="3" t="s">
        <v>28</v>
      </c>
    </row>
    <row r="3" spans="2:7" x14ac:dyDescent="0.3">
      <c r="B3" s="8">
        <v>15</v>
      </c>
      <c r="C3" s="3">
        <v>5.89</v>
      </c>
      <c r="D3" s="3">
        <f>LOG10(C3)</f>
        <v>0.77011529478710161</v>
      </c>
      <c r="E3" s="1">
        <f>(standards_171113!$F$17*D3)+standards_171113!$F$18</f>
        <v>0.83658541760922778</v>
      </c>
      <c r="F3" s="5">
        <f>(101*(10^E3))/(1+(10^E3))</f>
        <v>88.156873458104627</v>
      </c>
      <c r="G3" s="6">
        <f>100-F3</f>
        <v>11.843126541895373</v>
      </c>
    </row>
    <row r="4" spans="2:7" x14ac:dyDescent="0.3">
      <c r="B4" s="8" t="s">
        <v>30</v>
      </c>
      <c r="C4" s="3">
        <v>6.32</v>
      </c>
      <c r="D4" s="3">
        <f t="shared" ref="D4:D8" si="0">LOG10(C4)</f>
        <v>0.80071707828238503</v>
      </c>
      <c r="E4" s="1">
        <f>(standards_171113!$F$17*D4)+standards_171113!$F$18</f>
        <v>0.93829037117357061</v>
      </c>
      <c r="F4" s="5">
        <f t="shared" ref="F4:F8" si="1">(101*(10^E4))/(1+(10^E4))</f>
        <v>90.561173695206719</v>
      </c>
      <c r="G4" s="6">
        <f t="shared" ref="G4:G8" si="2">100-F4</f>
        <v>9.438826304793281</v>
      </c>
    </row>
    <row r="5" spans="2:7" x14ac:dyDescent="0.3">
      <c r="B5" s="13" t="s">
        <v>31</v>
      </c>
      <c r="C5" s="3">
        <v>6.83</v>
      </c>
      <c r="D5" s="3">
        <f t="shared" si="0"/>
        <v>0.83442070368153254</v>
      </c>
      <c r="E5" s="1">
        <f>(standards_171113!$F$17*D5)+standards_171113!$F$18</f>
        <v>1.0503042888165937</v>
      </c>
      <c r="F5" s="5">
        <f t="shared" si="1"/>
        <v>92.740301152721656</v>
      </c>
      <c r="G5" s="6">
        <f t="shared" si="2"/>
        <v>7.2596988472783437</v>
      </c>
    </row>
    <row r="6" spans="2:7" x14ac:dyDescent="0.3">
      <c r="B6" s="13" t="s">
        <v>32</v>
      </c>
      <c r="C6" s="3">
        <v>6.23</v>
      </c>
      <c r="D6" s="3">
        <f t="shared" si="0"/>
        <v>0.79448804665916961</v>
      </c>
      <c r="E6" s="1">
        <f>(standards_171113!$F$17*D6)+standards_171113!$F$18</f>
        <v>0.91758819961263582</v>
      </c>
      <c r="F6" s="5">
        <f t="shared" si="1"/>
        <v>90.10648918267745</v>
      </c>
      <c r="G6" s="6">
        <f t="shared" si="2"/>
        <v>9.8935108173225501</v>
      </c>
    </row>
    <row r="7" spans="2:7" x14ac:dyDescent="0.3">
      <c r="B7" s="13">
        <v>17</v>
      </c>
      <c r="C7" s="4">
        <v>6.11</v>
      </c>
      <c r="D7" s="3">
        <f t="shared" si="0"/>
        <v>0.78604121024255424</v>
      </c>
      <c r="E7" s="1">
        <f>(standards_171113!$F$17*D7)+standards_171113!$F$18</f>
        <v>0.88951515917530721</v>
      </c>
      <c r="F7" s="5">
        <f t="shared" si="1"/>
        <v>89.462166862023977</v>
      </c>
      <c r="G7" s="6">
        <f t="shared" si="2"/>
        <v>10.537833137976023</v>
      </c>
    </row>
    <row r="8" spans="2:7" x14ac:dyDescent="0.3">
      <c r="B8" s="13">
        <v>18</v>
      </c>
      <c r="C8" s="4">
        <v>6.58</v>
      </c>
      <c r="D8" s="3">
        <f t="shared" si="0"/>
        <v>0.81822589361395548</v>
      </c>
      <c r="E8" s="1">
        <f>(standards_171113!$F$17*D8)+standards_171113!$F$18</f>
        <v>0.99648087665631446</v>
      </c>
      <c r="F8" s="5">
        <f t="shared" si="1"/>
        <v>91.750319947120715</v>
      </c>
      <c r="G8" s="6">
        <f t="shared" si="2"/>
        <v>8.2496800528792846</v>
      </c>
    </row>
    <row r="9" spans="2:7" x14ac:dyDescent="0.3">
      <c r="E9" s="1"/>
      <c r="G9" s="6"/>
    </row>
    <row r="10" spans="2:7" x14ac:dyDescent="0.3">
      <c r="B10" s="9"/>
      <c r="E10" s="1"/>
      <c r="G10" s="6"/>
    </row>
    <row r="11" spans="2:7" x14ac:dyDescent="0.3">
      <c r="B11" s="10"/>
      <c r="G11" s="6"/>
    </row>
    <row r="12" spans="2:7" x14ac:dyDescent="0.3">
      <c r="B12" s="10"/>
      <c r="G12" s="6"/>
    </row>
    <row r="13" spans="2:7" x14ac:dyDescent="0.3">
      <c r="B13" s="10"/>
      <c r="G13" s="6"/>
    </row>
    <row r="14" spans="2:7" x14ac:dyDescent="0.3">
      <c r="B14" s="10"/>
      <c r="G14" s="6"/>
    </row>
    <row r="15" spans="2:7" x14ac:dyDescent="0.3">
      <c r="B15" s="10"/>
      <c r="G15" s="6"/>
    </row>
    <row r="16" spans="2:7" x14ac:dyDescent="0.3">
      <c r="B16" s="10"/>
      <c r="G16" s="6"/>
    </row>
    <row r="17" spans="2:7" x14ac:dyDescent="0.3">
      <c r="B17" s="10"/>
      <c r="G17" s="6"/>
    </row>
    <row r="18" spans="2:7" x14ac:dyDescent="0.3">
      <c r="B18" s="10"/>
      <c r="G18" s="6"/>
    </row>
    <row r="19" spans="2:7" x14ac:dyDescent="0.3">
      <c r="B19" s="10"/>
    </row>
    <row r="20" spans="2:7" x14ac:dyDescent="0.3">
      <c r="B20" s="10"/>
    </row>
    <row r="21" spans="2:7" x14ac:dyDescent="0.3">
      <c r="B21" s="10"/>
    </row>
    <row r="22" spans="2:7" x14ac:dyDescent="0.3">
      <c r="B22" s="10"/>
    </row>
    <row r="23" spans="2:7" x14ac:dyDescent="0.3">
      <c r="B23" s="10"/>
    </row>
    <row r="24" spans="2:7" x14ac:dyDescent="0.3">
      <c r="B24" s="10"/>
    </row>
    <row r="25" spans="2:7" x14ac:dyDescent="0.3">
      <c r="B25" s="10"/>
    </row>
    <row r="26" spans="2:7" x14ac:dyDescent="0.3">
      <c r="B26" s="10"/>
    </row>
    <row r="27" spans="2:7" x14ac:dyDescent="0.3">
      <c r="B27" s="10"/>
    </row>
    <row r="28" spans="2:7" x14ac:dyDescent="0.3">
      <c r="B28" s="10"/>
    </row>
    <row r="29" spans="2:7" x14ac:dyDescent="0.3">
      <c r="B29" s="10"/>
    </row>
    <row r="30" spans="2:7" x14ac:dyDescent="0.3">
      <c r="B30" s="10"/>
    </row>
    <row r="31" spans="2:7" x14ac:dyDescent="0.3">
      <c r="B31" s="10"/>
    </row>
    <row r="32" spans="2:7" x14ac:dyDescent="0.3">
      <c r="B32" s="10"/>
    </row>
    <row r="33" spans="2:2" x14ac:dyDescent="0.3">
      <c r="B33" s="11"/>
    </row>
    <row r="34" spans="2:2" x14ac:dyDescent="0.3">
      <c r="B34" s="12"/>
    </row>
    <row r="35" spans="2:2" x14ac:dyDescent="0.3">
      <c r="B35" s="12"/>
    </row>
    <row r="36" spans="2:2" x14ac:dyDescent="0.3">
      <c r="B36" s="12"/>
    </row>
    <row r="37" spans="2:2" x14ac:dyDescent="0.3">
      <c r="B37" s="12"/>
    </row>
    <row r="38" spans="2:2" x14ac:dyDescent="0.3">
      <c r="B38" s="12"/>
    </row>
    <row r="39" spans="2:2" x14ac:dyDescent="0.3">
      <c r="B39" s="12"/>
    </row>
    <row r="40" spans="2:2" x14ac:dyDescent="0.3">
      <c r="B40" s="12"/>
    </row>
    <row r="41" spans="2:2" x14ac:dyDescent="0.3">
      <c r="B41" s="12"/>
    </row>
    <row r="42" spans="2:2" x14ac:dyDescent="0.3">
      <c r="B42" s="12"/>
    </row>
    <row r="43" spans="2:2" x14ac:dyDescent="0.3">
      <c r="B43" s="12"/>
    </row>
    <row r="44" spans="2:2" x14ac:dyDescent="0.3">
      <c r="B44" s="11"/>
    </row>
    <row r="45" spans="2:2" x14ac:dyDescent="0.3">
      <c r="B45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>
      <selection activeCell="Q28" sqref="Q28"/>
    </sheetView>
  </sheetViews>
  <sheetFormatPr defaultRowHeight="14.4" x14ac:dyDescent="0.3"/>
  <cols>
    <col min="1" max="1" width="8.88671875" style="3"/>
    <col min="2" max="2" width="16.33203125" style="3" bestFit="1" customWidth="1"/>
    <col min="3" max="7" width="8.88671875" style="3"/>
    <col min="8" max="8" width="10.33203125" style="3" bestFit="1" customWidth="1"/>
    <col min="9" max="11" width="8.88671875" style="3"/>
    <col min="12" max="12" width="9" style="3" bestFit="1" customWidth="1"/>
    <col min="13" max="13" width="9.5546875" style="3" bestFit="1" customWidth="1"/>
    <col min="14" max="16384" width="8.88671875" style="3"/>
  </cols>
  <sheetData>
    <row r="1" spans="2:13" x14ac:dyDescent="0.3">
      <c r="C1" s="3" t="s">
        <v>21</v>
      </c>
    </row>
    <row r="2" spans="2:13" x14ac:dyDescent="0.3">
      <c r="B2" s="3" t="s">
        <v>0</v>
      </c>
      <c r="C2" s="3" t="s">
        <v>14</v>
      </c>
      <c r="D2" s="3" t="s">
        <v>15</v>
      </c>
      <c r="E2" s="3" t="s">
        <v>15</v>
      </c>
      <c r="F2" s="3" t="s">
        <v>17</v>
      </c>
      <c r="G2" s="3" t="s">
        <v>16</v>
      </c>
      <c r="H2" s="3" t="s">
        <v>20</v>
      </c>
      <c r="I2" s="3" t="s">
        <v>22</v>
      </c>
      <c r="J2" s="3" t="s">
        <v>18</v>
      </c>
      <c r="L2" s="3" t="s">
        <v>23</v>
      </c>
      <c r="M2" s="3" t="s">
        <v>24</v>
      </c>
    </row>
    <row r="3" spans="2:13" x14ac:dyDescent="0.3">
      <c r="B3" s="3" t="s">
        <v>5</v>
      </c>
      <c r="C3" s="3">
        <v>98</v>
      </c>
      <c r="D3" s="3">
        <v>7.08</v>
      </c>
      <c r="F3" s="3">
        <f>LOG10(D3)</f>
        <v>0.85003325768976901</v>
      </c>
      <c r="G3" s="3" t="str">
        <f>IF(E3,LOG10(E3),"")</f>
        <v/>
      </c>
      <c r="H3" s="2">
        <f>AVERAGE(F3:G3)</f>
        <v>0.85003325768976901</v>
      </c>
      <c r="I3" s="2" t="e">
        <f>STDEV(F3:G3)</f>
        <v>#DIV/0!</v>
      </c>
      <c r="J3" s="1">
        <f t="shared" ref="J3:J12" si="0">LOG10(C3/(101-C3))</f>
        <v>1.5141048209728323</v>
      </c>
      <c r="L3" s="1">
        <f>F$17*H3+F$18</f>
        <v>1.1679755954077973</v>
      </c>
      <c r="M3" s="1">
        <f>(101*(10^L3))/(1+(10^L3))</f>
        <v>94.576002571762672</v>
      </c>
    </row>
    <row r="4" spans="2:13" x14ac:dyDescent="0.3">
      <c r="B4" s="3" t="s">
        <v>6</v>
      </c>
      <c r="C4" s="3">
        <v>35</v>
      </c>
      <c r="D4" s="3">
        <v>2.2999999999999998</v>
      </c>
      <c r="F4" s="3">
        <f t="shared" ref="F4:F12" si="1">LOG10(D4)</f>
        <v>0.36172783601759284</v>
      </c>
      <c r="G4" s="3" t="str">
        <f t="shared" ref="G4:G12" si="2">IF(E4,LOG10(E4),"")</f>
        <v/>
      </c>
      <c r="H4" s="2">
        <f t="shared" ref="H4:H12" si="3">AVERAGE(F4:G4)</f>
        <v>0.36172783601759284</v>
      </c>
      <c r="I4" s="2" t="e">
        <f t="shared" ref="I4:I12" si="4">STDEV(F4:G4)</f>
        <v>#DIV/0!</v>
      </c>
      <c r="J4" s="1">
        <f t="shared" si="0"/>
        <v>-0.27547589119159305</v>
      </c>
      <c r="L4" s="1">
        <f>F$17*H4+F$18</f>
        <v>-0.33928698527466228</v>
      </c>
      <c r="M4" s="1">
        <f t="shared" ref="M4:M12" si="5">(101*(10^L4))/(1+(10^L4))</f>
        <v>31.719384532534246</v>
      </c>
    </row>
    <row r="5" spans="2:13" x14ac:dyDescent="0.3">
      <c r="B5" s="3" t="s">
        <v>7</v>
      </c>
      <c r="C5" s="3">
        <v>60</v>
      </c>
      <c r="D5" s="3">
        <v>4.5199999999999996</v>
      </c>
      <c r="F5" s="3">
        <f t="shared" si="1"/>
        <v>0.65513843481138212</v>
      </c>
      <c r="G5" s="3" t="str">
        <f t="shared" si="2"/>
        <v/>
      </c>
      <c r="H5" s="2">
        <f t="shared" si="3"/>
        <v>0.65513843481138212</v>
      </c>
      <c r="I5" s="2" t="e">
        <f t="shared" si="4"/>
        <v>#DIV/0!</v>
      </c>
      <c r="J5" s="1">
        <f t="shared" si="0"/>
        <v>0.16536739366390812</v>
      </c>
      <c r="L5" s="1">
        <f>F$17*H5+F$18</f>
        <v>0.56638966034410143</v>
      </c>
      <c r="M5" s="1">
        <f t="shared" si="5"/>
        <v>79.439968035389739</v>
      </c>
    </row>
    <row r="6" spans="2:13" x14ac:dyDescent="0.3">
      <c r="B6" s="3" t="s">
        <v>8</v>
      </c>
      <c r="C6" s="3">
        <v>75</v>
      </c>
      <c r="D6" s="3">
        <v>4.87</v>
      </c>
      <c r="E6" s="4"/>
      <c r="F6" s="3">
        <f t="shared" si="1"/>
        <v>0.68752896121463436</v>
      </c>
      <c r="G6" s="3" t="str">
        <f t="shared" si="2"/>
        <v/>
      </c>
      <c r="H6" s="2">
        <f t="shared" si="3"/>
        <v>0.68752896121463436</v>
      </c>
      <c r="I6" s="2" t="e">
        <f t="shared" si="4"/>
        <v>#DIV/0!</v>
      </c>
      <c r="J6" s="1">
        <f t="shared" si="0"/>
        <v>0.46008791542088207</v>
      </c>
      <c r="L6" s="1">
        <f>F$17*H6+F$18</f>
        <v>0.66637017714656577</v>
      </c>
      <c r="M6" s="1">
        <f t="shared" si="5"/>
        <v>83.087184066062946</v>
      </c>
    </row>
    <row r="7" spans="2:13" x14ac:dyDescent="0.3">
      <c r="B7" s="3" t="s">
        <v>9</v>
      </c>
      <c r="C7" s="3">
        <v>88</v>
      </c>
      <c r="D7" s="3">
        <v>5.08</v>
      </c>
      <c r="E7" s="4"/>
      <c r="F7" s="3">
        <f t="shared" si="1"/>
        <v>0.70586371228391931</v>
      </c>
      <c r="G7" s="3" t="str">
        <f t="shared" si="2"/>
        <v/>
      </c>
      <c r="H7" s="2">
        <f t="shared" si="3"/>
        <v>0.70586371228391931</v>
      </c>
      <c r="I7" s="2" t="e">
        <f t="shared" si="4"/>
        <v>#DIV/0!</v>
      </c>
      <c r="J7" s="1">
        <f t="shared" si="0"/>
        <v>0.83053931984333185</v>
      </c>
      <c r="L7" s="1">
        <f t="shared" ref="L7:L12" si="6">F$17*H7+F$18</f>
        <v>0.72296443759574402</v>
      </c>
      <c r="M7" s="1">
        <f t="shared" si="5"/>
        <v>84.927485437149116</v>
      </c>
    </row>
    <row r="8" spans="2:13" x14ac:dyDescent="0.3">
      <c r="B8" s="3" t="s">
        <v>10</v>
      </c>
      <c r="C8" s="3">
        <v>94.5</v>
      </c>
      <c r="D8" s="3">
        <v>7.31</v>
      </c>
      <c r="E8" s="4"/>
      <c r="F8" s="3">
        <f t="shared" si="1"/>
        <v>0.86391737695786042</v>
      </c>
      <c r="G8" s="3" t="str">
        <f t="shared" si="2"/>
        <v/>
      </c>
      <c r="H8" s="2">
        <f t="shared" si="3"/>
        <v>0.86391737695786042</v>
      </c>
      <c r="I8" s="2" t="e">
        <f t="shared" si="4"/>
        <v>#DIV/0!</v>
      </c>
      <c r="J8" s="1">
        <f t="shared" si="0"/>
        <v>1.1625184518664073</v>
      </c>
      <c r="L8" s="1">
        <f t="shared" si="6"/>
        <v>1.2108319973843777</v>
      </c>
      <c r="M8" s="1">
        <f t="shared" si="5"/>
        <v>95.144656152295852</v>
      </c>
    </row>
    <row r="9" spans="2:13" x14ac:dyDescent="0.3">
      <c r="B9" s="3" t="s">
        <v>11</v>
      </c>
      <c r="C9" s="3">
        <v>95</v>
      </c>
      <c r="D9" s="3">
        <v>6.12</v>
      </c>
      <c r="E9" s="4"/>
      <c r="F9" s="3">
        <f t="shared" si="1"/>
        <v>0.78675142214556115</v>
      </c>
      <c r="G9" s="3" t="str">
        <f t="shared" si="2"/>
        <v/>
      </c>
      <c r="H9" s="2">
        <f t="shared" si="3"/>
        <v>0.78675142214556115</v>
      </c>
      <c r="I9" s="2" t="e">
        <f t="shared" si="4"/>
        <v>#DIV/0!</v>
      </c>
      <c r="J9" s="1">
        <f t="shared" si="0"/>
        <v>1.1995723549052042</v>
      </c>
      <c r="L9" s="1">
        <f t="shared" si="6"/>
        <v>0.97264222715222082</v>
      </c>
      <c r="M9" s="1">
        <f t="shared" si="5"/>
        <v>91.278641873156005</v>
      </c>
    </row>
    <row r="10" spans="2:13" x14ac:dyDescent="0.3">
      <c r="B10" s="3" t="s">
        <v>12</v>
      </c>
      <c r="C10" s="3">
        <v>98.7</v>
      </c>
      <c r="D10" s="3">
        <v>9.5299999999999994</v>
      </c>
      <c r="E10" s="4"/>
      <c r="F10" s="3">
        <f t="shared" si="1"/>
        <v>0.97909290063832632</v>
      </c>
      <c r="G10" s="3" t="str">
        <f t="shared" si="2"/>
        <v/>
      </c>
      <c r="H10" s="2">
        <f t="shared" si="3"/>
        <v>0.97909290063832632</v>
      </c>
      <c r="I10" s="2" t="e">
        <f t="shared" si="4"/>
        <v>#DIV/0!</v>
      </c>
      <c r="J10" s="1">
        <f t="shared" si="0"/>
        <v>1.6325893166520444</v>
      </c>
      <c r="L10" s="1">
        <f t="shared" si="6"/>
        <v>1.5663467005789269</v>
      </c>
      <c r="M10" s="1">
        <f t="shared" si="5"/>
        <v>98.331028830023627</v>
      </c>
    </row>
    <row r="11" spans="2:13" x14ac:dyDescent="0.3">
      <c r="B11" s="3" t="s">
        <v>19</v>
      </c>
      <c r="C11" s="3">
        <v>99</v>
      </c>
      <c r="D11" s="3">
        <v>13.4</v>
      </c>
      <c r="E11" s="4"/>
      <c r="F11" s="3">
        <f t="shared" si="1"/>
        <v>1.1271047983648077</v>
      </c>
      <c r="G11" s="3" t="str">
        <f t="shared" si="2"/>
        <v/>
      </c>
      <c r="H11" s="2">
        <f t="shared" si="3"/>
        <v>1.1271047983648077</v>
      </c>
      <c r="I11" s="2" t="e">
        <f t="shared" si="4"/>
        <v>#DIV/0!</v>
      </c>
      <c r="J11" s="1">
        <f t="shared" si="0"/>
        <v>1.6946051989335686</v>
      </c>
      <c r="L11" s="1">
        <f t="shared" si="6"/>
        <v>2.0232181278404857</v>
      </c>
      <c r="M11" s="1">
        <f t="shared" si="5"/>
        <v>100.0515689241617</v>
      </c>
    </row>
    <row r="12" spans="2:13" x14ac:dyDescent="0.3">
      <c r="B12" s="3" t="s">
        <v>13</v>
      </c>
      <c r="C12" s="3">
        <v>99.8</v>
      </c>
      <c r="D12" s="3">
        <v>10.9</v>
      </c>
      <c r="E12" s="4"/>
      <c r="F12" s="3">
        <f t="shared" si="1"/>
        <v>1.0374264979406236</v>
      </c>
      <c r="G12" s="3" t="str">
        <f t="shared" si="2"/>
        <v/>
      </c>
      <c r="H12" s="2">
        <f t="shared" si="3"/>
        <v>1.0374264979406236</v>
      </c>
      <c r="I12" s="2" t="e">
        <f t="shared" si="4"/>
        <v>#DIV/0!</v>
      </c>
      <c r="J12" s="1">
        <f t="shared" si="0"/>
        <v>1.9199492952397452</v>
      </c>
      <c r="L12" s="1">
        <f t="shared" si="6"/>
        <v>1.7464062381307743</v>
      </c>
      <c r="M12" s="1">
        <f t="shared" si="5"/>
        <v>99.220913826674291</v>
      </c>
    </row>
    <row r="15" spans="2:13" x14ac:dyDescent="0.3">
      <c r="B15" s="3" t="s">
        <v>4</v>
      </c>
    </row>
    <row r="16" spans="2:13" x14ac:dyDescent="0.3">
      <c r="B16" s="3" t="s">
        <v>27</v>
      </c>
    </row>
    <row r="17" spans="4:6" x14ac:dyDescent="0.3">
      <c r="E17" s="3" t="s">
        <v>2</v>
      </c>
      <c r="F17" s="2">
        <f>SLOPE(J3:J12,H3:H12)</f>
        <v>3.0867209614853719</v>
      </c>
    </row>
    <row r="18" spans="4:6" x14ac:dyDescent="0.3">
      <c r="E18" s="3" t="s">
        <v>3</v>
      </c>
      <c r="F18" s="2">
        <f>INTERCEPT(J3:J12,H3:H12)</f>
        <v>-1.4558398790629095</v>
      </c>
    </row>
    <row r="19" spans="4:6" x14ac:dyDescent="0.3">
      <c r="D19" s="2"/>
    </row>
    <row r="21" spans="4:6" x14ac:dyDescent="0.3">
      <c r="D21" s="1"/>
      <c r="E21" s="1"/>
    </row>
    <row r="22" spans="4:6" x14ac:dyDescent="0.3">
      <c r="D22" s="1"/>
      <c r="E22" s="1"/>
    </row>
    <row r="23" spans="4:6" x14ac:dyDescent="0.3">
      <c r="D23" s="1"/>
      <c r="E23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/>
  </sheetViews>
  <sheetFormatPr defaultRowHeight="14.4" x14ac:dyDescent="0.3"/>
  <cols>
    <col min="1" max="1" width="8.88671875" style="3"/>
    <col min="2" max="2" width="16.33203125" style="7" bestFit="1" customWidth="1"/>
    <col min="3" max="16384" width="8.88671875" style="3"/>
  </cols>
  <sheetData>
    <row r="2" spans="2:7" x14ac:dyDescent="0.3">
      <c r="B2" s="7" t="s">
        <v>0</v>
      </c>
      <c r="C2" s="3" t="s">
        <v>1</v>
      </c>
      <c r="D2" s="3" t="s">
        <v>25</v>
      </c>
      <c r="E2" s="3" t="s">
        <v>23</v>
      </c>
      <c r="F2" s="3" t="s">
        <v>26</v>
      </c>
      <c r="G2" s="3" t="s">
        <v>28</v>
      </c>
    </row>
    <row r="3" spans="2:7" x14ac:dyDescent="0.3">
      <c r="B3" s="8" t="s">
        <v>33</v>
      </c>
      <c r="C3" s="3">
        <v>6.65</v>
      </c>
      <c r="D3" s="3">
        <f>LOG10(C3)</f>
        <v>0.82282164530310464</v>
      </c>
      <c r="E3" s="1">
        <f>(standards_181209!$F$17*D3)+standards_181209!$F$18</f>
        <v>1.0839809410580654</v>
      </c>
      <c r="F3" s="3">
        <f>(101*(10^E3))/(1+(10^E3))</f>
        <v>93.309657955974529</v>
      </c>
      <c r="G3" s="6">
        <f>100-F3</f>
        <v>6.6903420440254706</v>
      </c>
    </row>
    <row r="4" spans="2:7" x14ac:dyDescent="0.3">
      <c r="B4" s="8" t="s">
        <v>34</v>
      </c>
      <c r="C4" s="3">
        <v>6.96</v>
      </c>
      <c r="D4" s="3">
        <f t="shared" ref="D4:D8" si="0">LOG10(C4)</f>
        <v>0.84260923961056211</v>
      </c>
      <c r="E4" s="1">
        <f>(standards_181209!$F$17*D4)+standards_181209!$F$18</f>
        <v>1.1450597231842627</v>
      </c>
      <c r="F4" s="3">
        <f t="shared" ref="F4:F8" si="1">(101*(10^E4))/(1+(10^E4))</f>
        <v>94.251191196560811</v>
      </c>
      <c r="G4" s="6">
        <f t="shared" ref="G4:G8" si="2">100-F4</f>
        <v>5.7488088034391893</v>
      </c>
    </row>
    <row r="5" spans="2:7" x14ac:dyDescent="0.3">
      <c r="B5" s="8">
        <v>11</v>
      </c>
      <c r="C5" s="3">
        <v>5.55</v>
      </c>
      <c r="D5" s="3">
        <f t="shared" si="0"/>
        <v>0.74429298312267622</v>
      </c>
      <c r="E5" s="1">
        <f>(standards_181209!$F$17*D5)+standards_181209!$F$18</f>
        <v>0.84158487342833355</v>
      </c>
      <c r="F5" s="3">
        <f t="shared" si="1"/>
        <v>88.285366380040045</v>
      </c>
      <c r="G5" s="6">
        <f t="shared" si="2"/>
        <v>11.714633619959955</v>
      </c>
    </row>
    <row r="6" spans="2:7" x14ac:dyDescent="0.3">
      <c r="B6" s="8" t="s">
        <v>35</v>
      </c>
      <c r="C6" s="3">
        <v>6.53</v>
      </c>
      <c r="D6" s="3">
        <f t="shared" si="0"/>
        <v>0.81491318127507395</v>
      </c>
      <c r="E6" s="1">
        <f>(standards_181209!$F$17*D6)+standards_181209!$F$18</f>
        <v>1.0595697193695901</v>
      </c>
      <c r="F6" s="3">
        <f t="shared" si="1"/>
        <v>92.900669442502064</v>
      </c>
      <c r="G6" s="6">
        <f t="shared" si="2"/>
        <v>7.099330557497936</v>
      </c>
    </row>
    <row r="7" spans="2:7" x14ac:dyDescent="0.3">
      <c r="B7" s="8" t="s">
        <v>36</v>
      </c>
      <c r="C7" s="3">
        <v>6.24</v>
      </c>
      <c r="D7" s="3">
        <f t="shared" si="0"/>
        <v>0.795184589682424</v>
      </c>
      <c r="E7" s="1">
        <f>(standards_181209!$F$17*D7)+standards_181209!$F$18</f>
        <v>0.99867306215997309</v>
      </c>
      <c r="F7" s="3">
        <f t="shared" si="1"/>
        <v>91.792646274402713</v>
      </c>
      <c r="G7" s="6">
        <f t="shared" si="2"/>
        <v>8.2073537255972866</v>
      </c>
    </row>
    <row r="8" spans="2:7" x14ac:dyDescent="0.3">
      <c r="B8" s="8" t="s">
        <v>37</v>
      </c>
      <c r="C8" s="3">
        <v>6.57</v>
      </c>
      <c r="D8" s="3">
        <f t="shared" si="0"/>
        <v>0.81756536955978076</v>
      </c>
      <c r="E8" s="1">
        <f>(standards_181209!$F$17*D8)+standards_181209!$F$18</f>
        <v>1.0677562845418003</v>
      </c>
      <c r="F8" s="3">
        <f t="shared" si="1"/>
        <v>93.039994100013814</v>
      </c>
      <c r="G8" s="6">
        <f t="shared" si="2"/>
        <v>6.9600058999861858</v>
      </c>
    </row>
    <row r="9" spans="2:7" x14ac:dyDescent="0.3">
      <c r="E9" s="1"/>
      <c r="G9" s="6"/>
    </row>
    <row r="10" spans="2:7" x14ac:dyDescent="0.3">
      <c r="E10" s="1"/>
      <c r="G10" s="6"/>
    </row>
    <row r="11" spans="2:7" x14ac:dyDescent="0.3">
      <c r="E11" s="1"/>
      <c r="G11" s="6"/>
    </row>
    <row r="12" spans="2:7" x14ac:dyDescent="0.3">
      <c r="E12" s="1"/>
      <c r="G12" s="6"/>
    </row>
    <row r="13" spans="2:7" x14ac:dyDescent="0.3">
      <c r="E13" s="1"/>
      <c r="G13" s="6"/>
    </row>
    <row r="14" spans="2:7" x14ac:dyDescent="0.3">
      <c r="E14" s="1"/>
      <c r="G14" s="6"/>
    </row>
    <row r="15" spans="2:7" x14ac:dyDescent="0.3">
      <c r="E15" s="1"/>
      <c r="G15" s="6"/>
    </row>
    <row r="16" spans="2:7" x14ac:dyDescent="0.3">
      <c r="E16" s="1"/>
      <c r="G16" s="6"/>
    </row>
    <row r="17" spans="5:7" x14ac:dyDescent="0.3">
      <c r="E17" s="1"/>
      <c r="G17" s="6"/>
    </row>
    <row r="18" spans="5:7" x14ac:dyDescent="0.3">
      <c r="E18" s="1"/>
      <c r="G18" s="6"/>
    </row>
    <row r="19" spans="5:7" x14ac:dyDescent="0.3">
      <c r="E19" s="1"/>
      <c r="G19" s="6"/>
    </row>
    <row r="20" spans="5:7" x14ac:dyDescent="0.3">
      <c r="E20" s="1"/>
      <c r="G20" s="6"/>
    </row>
    <row r="21" spans="5:7" x14ac:dyDescent="0.3">
      <c r="E21" s="1"/>
      <c r="G21" s="6"/>
    </row>
    <row r="22" spans="5:7" x14ac:dyDescent="0.3">
      <c r="E22" s="1"/>
      <c r="G22" s="6"/>
    </row>
    <row r="23" spans="5:7" x14ac:dyDescent="0.3">
      <c r="E23" s="1"/>
      <c r="G23" s="6"/>
    </row>
    <row r="24" spans="5:7" x14ac:dyDescent="0.3">
      <c r="E24" s="1"/>
    </row>
    <row r="25" spans="5:7" x14ac:dyDescent="0.3">
      <c r="E25" s="1"/>
    </row>
    <row r="26" spans="5:7" x14ac:dyDescent="0.3">
      <c r="E26" s="1"/>
    </row>
    <row r="27" spans="5:7" x14ac:dyDescent="0.3">
      <c r="E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standards_170908</vt:lpstr>
      <vt:lpstr>170908</vt:lpstr>
      <vt:lpstr>standards_171113</vt:lpstr>
      <vt:lpstr>171113</vt:lpstr>
      <vt:lpstr>standards_181209</vt:lpstr>
      <vt:lpstr>181209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Rooney</dc:creator>
  <cp:lastModifiedBy>Tim Rooney</cp:lastModifiedBy>
  <dcterms:created xsi:type="dcterms:W3CDTF">2015-03-27T13:06:17Z</dcterms:created>
  <dcterms:modified xsi:type="dcterms:W3CDTF">2020-05-27T16:22:36Z</dcterms:modified>
</cp:coreProperties>
</file>